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-114833628705544555750/Mon Drive/Ecosoum/1 - Waste management/4 - SPRIM/1 - Project docs/2 - WM facility and scheme/3- Waste management budget calculation tool/"/>
    </mc:Choice>
  </mc:AlternateContent>
  <xr:revisionPtr revIDLastSave="0" documentId="13_ncr:1_{EB0B09AA-967D-C148-98A5-04374D47A975}" xr6:coauthVersionLast="47" xr6:coauthVersionMax="47" xr10:uidLastSave="{00000000-0000-0000-0000-000000000000}"/>
  <bookViews>
    <workbookView xWindow="0" yWindow="500" windowWidth="25600" windowHeight="15500" xr2:uid="{529441FE-8545-214C-B891-3D313CAE875E}"/>
  </bookViews>
  <sheets>
    <sheet name="Detailed budget" sheetId="8" r:id="rId1"/>
    <sheet name="Simplified budg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8" l="1"/>
  <c r="F45" i="8" s="1"/>
  <c r="E34" i="8"/>
  <c r="F32" i="8"/>
  <c r="F21" i="8" l="1"/>
  <c r="H21" i="8" s="1"/>
  <c r="E48" i="8"/>
  <c r="E49" i="8"/>
  <c r="E50" i="8"/>
  <c r="E47" i="8"/>
  <c r="E46" i="8"/>
  <c r="H12" i="8"/>
  <c r="E52" i="8" s="1"/>
  <c r="H11" i="8"/>
  <c r="E51" i="8" s="1"/>
  <c r="H53" i="8"/>
  <c r="E45" i="8"/>
  <c r="E44" i="8"/>
  <c r="H43" i="8"/>
  <c r="H42" i="8"/>
  <c r="E37" i="8"/>
  <c r="E36" i="8"/>
  <c r="H36" i="8" s="1"/>
  <c r="E35" i="8"/>
  <c r="H35" i="8" s="1"/>
  <c r="H34" i="8"/>
  <c r="H33" i="8"/>
  <c r="E32" i="8"/>
  <c r="F31" i="8"/>
  <c r="H31" i="8" s="1"/>
  <c r="F28" i="8"/>
  <c r="H28" i="8" s="1"/>
  <c r="F27" i="8"/>
  <c r="H27" i="8" s="1"/>
  <c r="F26" i="8"/>
  <c r="H26" i="8" s="1"/>
  <c r="F25" i="8"/>
  <c r="H25" i="8" s="1"/>
  <c r="H24" i="8"/>
  <c r="H23" i="8"/>
  <c r="H22" i="8"/>
  <c r="F20" i="8"/>
  <c r="F29" i="8" s="1"/>
  <c r="H29" i="8" s="1"/>
  <c r="H19" i="8"/>
  <c r="H18" i="8"/>
  <c r="E14" i="2" l="1"/>
  <c r="J14" i="2"/>
  <c r="E7" i="2"/>
  <c r="J7" i="2"/>
  <c r="E8" i="2"/>
  <c r="J8" i="2"/>
  <c r="J9" i="2"/>
  <c r="E9" i="2"/>
  <c r="J19" i="2"/>
  <c r="E19" i="2"/>
  <c r="J4" i="2"/>
  <c r="E4" i="2"/>
  <c r="J27" i="2"/>
  <c r="E27" i="2"/>
  <c r="J28" i="2"/>
  <c r="E28" i="2"/>
  <c r="J18" i="2"/>
  <c r="E18" i="2"/>
  <c r="J10" i="2"/>
  <c r="E10" i="2"/>
  <c r="E20" i="2"/>
  <c r="J20" i="2"/>
  <c r="E13" i="2"/>
  <c r="J13" i="2"/>
  <c r="E16" i="2"/>
  <c r="J16" i="2"/>
  <c r="J21" i="2"/>
  <c r="E21" i="2"/>
  <c r="E6" i="2"/>
  <c r="J6" i="2"/>
  <c r="J11" i="2"/>
  <c r="E11" i="2"/>
  <c r="E3" i="2"/>
  <c r="J3" i="2"/>
  <c r="J12" i="2"/>
  <c r="E12" i="2"/>
  <c r="F48" i="8"/>
  <c r="H48" i="8" s="1"/>
  <c r="F50" i="8"/>
  <c r="H50" i="8" s="1"/>
  <c r="F30" i="8"/>
  <c r="H30" i="8" s="1"/>
  <c r="H32" i="8"/>
  <c r="H45" i="8"/>
  <c r="F46" i="8"/>
  <c r="F49" i="8"/>
  <c r="H49" i="8" s="1"/>
  <c r="F52" i="8"/>
  <c r="H52" i="8" s="1"/>
  <c r="H20" i="8"/>
  <c r="F47" i="8"/>
  <c r="H47" i="8" s="1"/>
  <c r="F44" i="8"/>
  <c r="H44" i="8" s="1"/>
  <c r="F51" i="8"/>
  <c r="H51" i="8" s="1"/>
  <c r="E33" i="2" l="1"/>
  <c r="J33" i="2"/>
  <c r="J32" i="2"/>
  <c r="E32" i="2"/>
  <c r="E35" i="2"/>
  <c r="J35" i="2"/>
  <c r="E34" i="2"/>
  <c r="J34" i="2"/>
  <c r="J29" i="2"/>
  <c r="E29" i="2"/>
  <c r="E15" i="2"/>
  <c r="J15" i="2"/>
  <c r="J5" i="2"/>
  <c r="E5" i="2"/>
  <c r="J37" i="2"/>
  <c r="E37" i="2"/>
  <c r="J30" i="2"/>
  <c r="E30" i="2"/>
  <c r="J36" i="2"/>
  <c r="E36" i="2"/>
  <c r="J17" i="2"/>
  <c r="E17" i="2"/>
  <c r="F37" i="8"/>
  <c r="H37" i="8" s="1"/>
  <c r="H46" i="8"/>
  <c r="H38" i="8" l="1"/>
  <c r="D58" i="8" s="1"/>
  <c r="E22" i="2"/>
  <c r="E23" i="2" s="1"/>
  <c r="E42" i="2" s="1"/>
  <c r="J22" i="2"/>
  <c r="H54" i="8"/>
  <c r="D59" i="8" s="1"/>
  <c r="E31" i="2"/>
  <c r="E38" i="2" s="1"/>
  <c r="E43" i="2" s="1"/>
  <c r="J31" i="2"/>
  <c r="J38" i="2" s="1"/>
  <c r="D60" i="8" l="1"/>
  <c r="E44" i="2"/>
  <c r="J23" i="2"/>
  <c r="J42" i="2" s="1"/>
  <c r="J43" i="2"/>
  <c r="J4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Pierre</author>
  </authors>
  <commentList>
    <comment ref="E5" authorId="0" shapeId="0" xr:uid="{2C4E5C8F-424C-4F4E-8678-190F18745A12}">
      <text>
        <r>
          <rPr>
            <b/>
            <sz val="10"/>
            <color rgb="FF000000"/>
            <rFont val="Open Sans"/>
            <family val="34"/>
          </rPr>
          <t xml:space="preserve">2022 оны 5 сарын байдлаар килограмм тутмын дундаж үнэ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Estimated average prices per kg as of May, 2022 </t>
        </r>
      </text>
    </comment>
    <comment ref="C13" authorId="0" shapeId="0" xr:uid="{7534D1E6-7F25-3942-903C-D3E00FC0A099}">
      <text>
        <r>
          <rPr>
            <b/>
            <sz val="10"/>
            <color rgb="FF000000"/>
            <rFont val="Calibri"/>
            <family val="2"/>
            <scheme val="minor"/>
          </rPr>
          <t>Одоо Хишиг-Өндөр суманд мөрдөгдөж байгаа үнийг бусад бүх сумдад ашиглав (1тонн ачааг 300км зайд 120,000 төгрөгөөр тээвэрлэдэг)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Extrapolation to all soums from current price applied in Khishig-Undur (120,000MNT/t for 300km distance)
</t>
        </r>
      </text>
    </comment>
    <comment ref="F20" authorId="0" shapeId="0" xr:uid="{AC476DE5-6EB3-794F-A010-F5B4BEBF2624}">
      <text>
        <r>
          <rPr>
            <b/>
            <sz val="10"/>
            <color rgb="FF000000"/>
            <rFont val="Open Sans"/>
            <family val="34"/>
          </rPr>
          <t>Сумын төвийн 200 өрх тутамд нэг ачааны машин (барагцаагаар)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One truck per 200 soum-center housholds (rounded up)</t>
        </r>
      </text>
    </comment>
    <comment ref="F25" authorId="0" shapeId="0" xr:uid="{7FD7E012-FC93-814D-941F-5BBB7DED0987}">
      <text>
        <r>
          <rPr>
            <b/>
            <sz val="10"/>
            <color rgb="FF000000"/>
            <rFont val="Open Sans"/>
            <family val="34"/>
          </rPr>
          <t>Сумын төвийн өрх бүрт нэг ширхэг хог ангилах сав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One bin per soum-center household</t>
        </r>
      </text>
    </comment>
    <comment ref="F26" authorId="0" shapeId="0" xr:uid="{08E0DF59-6AED-664D-A6A9-04F70123EF27}">
      <text>
        <r>
          <rPr>
            <b/>
            <sz val="10"/>
            <color rgb="FF000000"/>
            <rFont val="Open Sans"/>
            <family val="34"/>
          </rPr>
          <t>Сумын төвийн 15 өрх тус бүрт нэг сав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One per 15 soum-center households
</t>
        </r>
      </text>
    </comment>
    <comment ref="E32" authorId="0" shapeId="0" xr:uid="{5B125246-CD7A-994D-B3D1-725BF55E149F}">
      <text>
        <r>
          <rPr>
            <b/>
            <sz val="10"/>
            <color rgb="FF000000"/>
            <rFont val="Open Sans"/>
            <family val="34"/>
          </rPr>
          <t>Сарын үндсэн цалин 1,000,000 төгрөг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1,000,000 MNT super-gross monthly wage</t>
        </r>
      </text>
    </comment>
    <comment ref="F32" authorId="0" shapeId="0" xr:uid="{32ED387B-2AC8-2840-AE01-3C0329210FBD}">
      <text>
        <r>
          <rPr>
            <b/>
            <sz val="10"/>
            <color rgb="FF000000"/>
            <rFont val="Open Sans"/>
            <family val="34"/>
          </rPr>
          <t xml:space="preserve">Сумын төвийн 130 өрх тутамд 1 ажилтан ногдохоор тооцов (ойролцоогоор)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Estimated to 1 staff per 130 soum-center household (rounded up)</t>
        </r>
      </text>
    </comment>
    <comment ref="E33" authorId="0" shapeId="0" xr:uid="{48197BFF-5AE0-884C-A7B2-12C24952FCD8}">
      <text>
        <r>
          <rPr>
            <b/>
            <sz val="10"/>
            <color rgb="FF000000"/>
            <rFont val="Open Sans"/>
            <family val="34"/>
          </rPr>
          <t xml:space="preserve">Сарын дундаж тооцоо 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Monthly average estimation</t>
        </r>
      </text>
    </comment>
    <comment ref="E34" authorId="0" shapeId="0" xr:uid="{8F0A9385-D70F-AC49-9E16-1F2E1741FC4B}">
      <text>
        <r>
          <rPr>
            <b/>
            <sz val="10"/>
            <color rgb="FF000000"/>
            <rFont val="Open Sans"/>
            <family val="34"/>
          </rPr>
          <t>- 1 өрхөөс сард нэг удаа өрхийн хог ачих (жилд 12 удаа)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>- 10 өрхөд 1 ачааны машин ирж очих зардал  (= ачааны машин 10 өрхийн 1 сар цугларсан хогийг ачаад дүүрнэ)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>- 4км зайд ирж очно (Хишиг-Өндөр сумын агаарын зургаас баримжаалсан тооцоо)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- 1 household waste collection per month (12 months per year)
</t>
        </r>
        <r>
          <rPr>
            <sz val="10"/>
            <color rgb="FF000000"/>
            <rFont val="Open Sans"/>
            <family val="34"/>
          </rPr>
          <t xml:space="preserve">- 10 households per truck round-trip (= a truck is full after collecting one month's waste from 10 households)
</t>
        </r>
        <r>
          <rPr>
            <sz val="10"/>
            <color rgb="FF000000"/>
            <rFont val="Open Sans"/>
            <family val="34"/>
          </rPr>
          <t>- 4km collection round-trips (estimated from KU aerial picture)</t>
        </r>
      </text>
    </comment>
    <comment ref="E35" authorId="0" shapeId="0" xr:uid="{7E985060-241D-0C47-A876-B5801C5DDF5F}">
      <text>
        <r>
          <rPr>
            <b/>
            <sz val="10"/>
            <color rgb="FF000000"/>
            <rFont val="Calibri"/>
            <family val="2"/>
          </rPr>
          <t>- Долоо хоногт 1 удаа ирж-очих (жилд 54 долоо хоног)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b/>
            <sz val="10"/>
            <color rgb="FF000000"/>
            <rFont val="Calibri"/>
            <family val="2"/>
          </rPr>
          <t>- Хогийн цэг хүртэл 4км-т ирж очно (= хогийн цэг хог хаягдал зохицуулах төвөөс 2км-ийн зайд байрладаг. Одоогийн Хишиг-Өндөр сумын нөхцөл байдалд суурилсан тооцоо болохыг анхаарна уу)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- 1 round-trip per week (54 weeks per year)
</t>
        </r>
        <r>
          <rPr>
            <sz val="10"/>
            <color rgb="FF000000"/>
            <rFont val="Open Sans"/>
            <family val="34"/>
          </rPr>
          <t>- 4km collection round-trips to landfill (= landfill is located 2km from WM facility, arbitrary estimation based on current situation in KU)</t>
        </r>
      </text>
    </comment>
    <comment ref="E36" authorId="0" shapeId="0" xr:uid="{9F0E956D-2244-174A-8C65-BB1E14ADB9DD}">
      <text>
        <r>
          <rPr>
            <b/>
            <sz val="10"/>
            <color rgb="FF000000"/>
            <rFont val="Calibri"/>
            <family val="2"/>
          </rPr>
          <t>Багцаалсан тооцоо: долоо хоногт дунджаар 4 цаг, 18л/цаг, ачааны машины түлштэй ижил үнэ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Rough estimation: used 4 hours per week on average, 18L/h, same gas price as for trucks</t>
        </r>
      </text>
    </comment>
    <comment ref="F37" authorId="0" shapeId="0" xr:uid="{DBC5B54D-4EAF-7242-ABB6-9DBA4C052129}">
      <text>
        <r>
          <rPr>
            <b/>
            <sz val="10"/>
            <color rgb="FF000000"/>
            <rFont val="Open Sans"/>
            <family val="34"/>
          </rPr>
          <t xml:space="preserve">Суманд үүсдэг нийт дахиварын хэмжээ ойролцоо жингээр
</t>
        </r>
        <r>
          <rPr>
            <sz val="10"/>
            <color rgb="FF000000"/>
            <rFont val="Open Sans"/>
            <family val="34"/>
          </rPr>
          <t>Total estimated weight of recyclables produced in the soum</t>
        </r>
      </text>
    </comment>
    <comment ref="E44" authorId="0" shapeId="0" xr:uid="{A1983F96-9949-264C-9CD8-69ED58264AC4}">
      <text>
        <r>
          <rPr>
            <b/>
            <sz val="10"/>
            <color rgb="FF000000"/>
            <rFont val="Open Sans"/>
            <family val="34"/>
          </rPr>
          <t>Жилийн 12 сар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12 months a year</t>
        </r>
      </text>
    </comment>
    <comment ref="E45" authorId="0" shapeId="0" xr:uid="{F9AF5959-EEB7-C540-8D29-54C32B0E2869}">
      <text>
        <r>
          <rPr>
            <b/>
            <sz val="10"/>
            <color rgb="FF000000"/>
            <rFont val="Open Sans"/>
            <family val="34"/>
          </rPr>
          <t>Жилийн 12 сар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12 months a year</t>
        </r>
      </text>
    </comment>
    <comment ref="F45" authorId="0" shapeId="0" xr:uid="{8FFEC99D-77EB-5143-9DD7-E265B726AE93}">
      <text>
        <r>
          <rPr>
            <b/>
            <sz val="10"/>
            <color rgb="FF000000"/>
            <rFont val="Open Sans"/>
            <family val="34"/>
          </rPr>
          <t>Хишиг-Өндөр сумын одоогийн харьцаанд суурилсан тооцоо : 19 өрх тутамд 1 бусад  хураамж төлөгч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b/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Extrapolated approximation based on the current ratio in Khishig-Undur : 1 other tax payer per 19 household</t>
        </r>
      </text>
    </comment>
    <comment ref="F46" authorId="0" shapeId="0" xr:uid="{3C8CCC7B-F0B9-6349-A43A-06B105C0DC07}">
      <text>
        <r>
          <rPr>
            <b/>
            <sz val="10"/>
            <color rgb="FF000000"/>
            <rFont val="Open Sans"/>
            <family val="34"/>
          </rPr>
          <t>Тооцоо : 1 өрхөд жилд 15кг ус ундааны сав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15kg of soda PET per household per year</t>
        </r>
      </text>
    </comment>
    <comment ref="F47" authorId="0" shapeId="0" xr:uid="{4FA5C8A7-599A-DC4D-8DC3-9B177C544D40}">
      <text>
        <r>
          <rPr>
            <b/>
            <sz val="10"/>
            <color rgb="FF000000"/>
            <rFont val="Open Sans"/>
            <family val="34"/>
          </rPr>
          <t>Тооцоо : 1 өрхөд жил 3кг пивоны хуванцар сав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3kg of beer PET per household per year</t>
        </r>
      </text>
    </comment>
    <comment ref="F48" authorId="0" shapeId="0" xr:uid="{32329572-CBDD-6D4F-B3DE-9833F42C0268}">
      <text>
        <r>
          <rPr>
            <b/>
            <sz val="10"/>
            <color rgb="FF000000"/>
            <rFont val="Open Sans"/>
            <family val="34"/>
          </rPr>
          <t>Тооцоо : 1 өрхөд жилд 10кг хуванцар уут, баглаа боодол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10kg of plastic bags and wrapping per household per year</t>
        </r>
      </text>
    </comment>
    <comment ref="F49" authorId="0" shapeId="0" xr:uid="{69A68628-89DA-2E45-9839-916A67D3FF57}">
      <text>
        <r>
          <rPr>
            <b/>
            <sz val="10"/>
            <color rgb="FF000000"/>
            <rFont val="Open Sans"/>
            <family val="34"/>
          </rPr>
          <t xml:space="preserve">Тооцоо : 1 өрхөд жилд 2кг хатуу хуванцар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2kg of hard plastic per household per year</t>
        </r>
      </text>
    </comment>
    <comment ref="F50" authorId="0" shapeId="0" xr:uid="{E92DD57E-3B96-A342-9546-3A8FBBD88182}">
      <text>
        <r>
          <rPr>
            <b/>
            <sz val="10"/>
            <color rgb="FF000000"/>
            <rFont val="Open Sans"/>
            <family val="34"/>
          </rPr>
          <t xml:space="preserve">Тооцоо : 1 өрхөд жилд 2кг хөнгөн цагаан лааз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2kg of aluminum can per household per year</t>
        </r>
      </text>
    </comment>
    <comment ref="F51" authorId="0" shapeId="0" xr:uid="{ADEB729A-DC15-754D-A6D3-AF221279AD60}">
      <text>
        <r>
          <rPr>
            <b/>
            <sz val="10"/>
            <color rgb="FF000000"/>
            <rFont val="Open Sans"/>
            <family val="34"/>
          </rPr>
          <t xml:space="preserve">Тооцоо: 1 өрхөд жилд 35 кг шилэн лонх 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35kg of glass bottles per household per year</t>
        </r>
      </text>
    </comment>
    <comment ref="F52" authorId="0" shapeId="0" xr:uid="{1252143D-552A-924F-AD43-369FB5498689}">
      <text>
        <r>
          <rPr>
            <b/>
            <sz val="10"/>
            <color rgb="FF000000"/>
            <rFont val="Open Sans"/>
            <family val="34"/>
          </rPr>
          <t xml:space="preserve">Тооцоо : 1 өрхөд жилд 8кг шилэн сав
</t>
        </r>
        <r>
          <rPr>
            <b/>
            <sz val="10"/>
            <color rgb="FFFF0000"/>
            <rFont val="Open Sans"/>
            <family val="34"/>
          </rPr>
          <t xml:space="preserve">
</t>
        </r>
        <r>
          <rPr>
            <sz val="10"/>
            <color rgb="FF000000"/>
            <rFont val="Open Sans"/>
            <family val="34"/>
          </rPr>
          <t>Estimation : 8kg of glass jars per household per year</t>
        </r>
      </text>
    </comment>
  </commentList>
</comments>
</file>

<file path=xl/sharedStrings.xml><?xml version="1.0" encoding="utf-8"?>
<sst xmlns="http://schemas.openxmlformats.org/spreadsheetml/2006/main" count="241" uniqueCount="217">
  <si>
    <t>Main investments</t>
  </si>
  <si>
    <t>TYPE OF EXPENSE</t>
  </si>
  <si>
    <t>BUDGET LINE</t>
  </si>
  <si>
    <t>YEARLY COST</t>
  </si>
  <si>
    <t>WM trucks</t>
  </si>
  <si>
    <t xml:space="preserve">Landfill constrction (landscaping, fence, etc.) </t>
  </si>
  <si>
    <t>Infrastructure</t>
  </si>
  <si>
    <t>Equipment</t>
  </si>
  <si>
    <t>Glass shredder</t>
  </si>
  <si>
    <t>Plastic press</t>
  </si>
  <si>
    <t>Maintenance of WM facility</t>
  </si>
  <si>
    <t>Maintenance of landfill</t>
  </si>
  <si>
    <t>Maintenance of WM trucks</t>
  </si>
  <si>
    <t>Landfill bulldozer</t>
  </si>
  <si>
    <t>Maintenance of landfill bulldozer</t>
  </si>
  <si>
    <t>Maintenance of shredder and press</t>
  </si>
  <si>
    <t>Other small equipment and tools</t>
  </si>
  <si>
    <t>Maintenance of main investments</t>
  </si>
  <si>
    <t>Other bins (public institutions, streets, etc.)</t>
  </si>
  <si>
    <t>Full-time staff</t>
  </si>
  <si>
    <t>WM facility workers and waste collectors</t>
  </si>
  <si>
    <t>Yearly running costs</t>
  </si>
  <si>
    <t>Electricity and heating</t>
  </si>
  <si>
    <t>Electricity and heating of WM facility</t>
  </si>
  <si>
    <t>Transportation</t>
  </si>
  <si>
    <t>Gas for waste collection to households within soum-center</t>
  </si>
  <si>
    <t>Gas for transporting ultimate waste from WM facility to landfill</t>
  </si>
  <si>
    <t>Gas for landfill bulldozer</t>
  </si>
  <si>
    <t>MAIN EXPENSES</t>
  </si>
  <si>
    <t>MAIN INCOMES</t>
  </si>
  <si>
    <t>WASTE MANAGEMENT SYSTEM APP. TOTAL YEARLY COST:</t>
  </si>
  <si>
    <t>Trade of recyclables</t>
  </si>
  <si>
    <t>SOURCE OF INCOME</t>
  </si>
  <si>
    <t>COMMENT</t>
  </si>
  <si>
    <t>/</t>
  </si>
  <si>
    <t>Average yearly aimag contribution to soum-level WM investments</t>
  </si>
  <si>
    <t>YEARLY INCOME</t>
  </si>
  <si>
    <t>WASTE MANAGEMENT SYSTEM APP. TOTAL YEARLY INCOME:</t>
  </si>
  <si>
    <t>Soum general budget</t>
  </si>
  <si>
    <t>Aimag general budget</t>
  </si>
  <si>
    <t>Financial contribution of the people</t>
  </si>
  <si>
    <t>WM household local tax</t>
  </si>
  <si>
    <t>Other WM taxpayers</t>
  </si>
  <si>
    <t>Soda PET bottles</t>
  </si>
  <si>
    <t>Beer PET bottles</t>
  </si>
  <si>
    <t>LDPE plastic bags and wrapping</t>
  </si>
  <si>
    <t>Aluminum cans</t>
  </si>
  <si>
    <t>HDPE and PP containers</t>
  </si>
  <si>
    <t>Glass jars</t>
  </si>
  <si>
    <t>Glass bottles</t>
  </si>
  <si>
    <t>BALANCE</t>
  </si>
  <si>
    <t>Estimated expenses:</t>
  </si>
  <si>
    <t>Estimated incomes:</t>
  </si>
  <si>
    <t>Balance:</t>
  </si>
  <si>
    <t>Transportation costs of recyclables to urban facilities (per ton)</t>
  </si>
  <si>
    <t>Realistic amount that can be taken from total yearly budget</t>
  </si>
  <si>
    <t>WM facility construction (fence, buildings, outside arrangements, etc.)</t>
  </si>
  <si>
    <t>Soum-center household waste sorting bins</t>
  </si>
  <si>
    <t>3,000 MNT per month per household</t>
  </si>
  <si>
    <t>15,000 MNT per month on average of other taxpayers (shops, etc.)</t>
  </si>
  <si>
    <t>ҮНДСЭН ЗАРДЛУУД</t>
  </si>
  <si>
    <t>ЗАРДЛЫН ТӨРӨЛ</t>
  </si>
  <si>
    <t>ТӨСВИЙН ЗАДАРГАА</t>
  </si>
  <si>
    <t>ЖИЛИЙН ЗАРДАЛ</t>
  </si>
  <si>
    <t xml:space="preserve">Үндсэн хөрөнгө оруулалт </t>
  </si>
  <si>
    <t>Дэд бүтэц</t>
  </si>
  <si>
    <t>Хог хаягдал зохицуулах байгууламж (хашаа, барилга гм.)</t>
  </si>
  <si>
    <t xml:space="preserve">Хогийн цэгийн тохижуулалт (газар шорооны ажил, хашаа гм.) </t>
  </si>
  <si>
    <t>Тоног төхөөрөмж</t>
  </si>
  <si>
    <t>Хогны машин</t>
  </si>
  <si>
    <t>Бульдозер</t>
  </si>
  <si>
    <t>Шил бутлагч</t>
  </si>
  <si>
    <t>Хуванцар пресслэгч</t>
  </si>
  <si>
    <t>Бусад жижиг тоног төхөөрөмж, багаж</t>
  </si>
  <si>
    <t>Өрхийн хог ангилах сав</t>
  </si>
  <si>
    <t>Бусад хогийн сав (төрийн байгууллага, гудамж гм.)</t>
  </si>
  <si>
    <t>Жилийн урсгал зардал</t>
  </si>
  <si>
    <t>Үндсэн хөрөнгө оруулалтын засвар үйлчилгээ</t>
  </si>
  <si>
    <t>Хог хаягдал зохицуулах байгууламжийн засвар үйлчилгээ</t>
  </si>
  <si>
    <t>Хогийн цэгийн засвар үйлчилгээ</t>
  </si>
  <si>
    <t>Хогны машины засвар үйлчилгээ</t>
  </si>
  <si>
    <t>Бульдозерийн засвар үйлчилгээ</t>
  </si>
  <si>
    <t>Бутлагч болон пресслэгч машины засвар үйлчилгээ</t>
  </si>
  <si>
    <t>Бутэн цагийн ажилтан</t>
  </si>
  <si>
    <t>ХХ зохицуулах төвийн ажилтнууд болон ачигч</t>
  </si>
  <si>
    <t>Цахилгаан, халаалт</t>
  </si>
  <si>
    <t>ХХ зохицуулах төвийн цахилгаан, халаалт</t>
  </si>
  <si>
    <t>Тээвэр</t>
  </si>
  <si>
    <t>Сумын төвийн өрхүүдийн хогийг ачих түлш</t>
  </si>
  <si>
    <t>Эцсийн хогийг ХХ зохицуулах төвөөс хогийн цэг рүү тээвэрлэх түлш</t>
  </si>
  <si>
    <t>Бульдозерийн түлш</t>
  </si>
  <si>
    <t>Төв суурингийн үйлдвэрүүд рүү дахивар тээвэрлэх зардал (тонноор)</t>
  </si>
  <si>
    <t>ХОГ ХАЯГДАЛ ЗОХИЦУУЛАХ ТОГТОЛЦООНЫ ЖИЛИЙН ЗАРДАЛ ДУНДЖААР:</t>
  </si>
  <si>
    <t>ҮНДСЭН ОРЛОГО</t>
  </si>
  <si>
    <t>ОРЛОГЫН ТӨРӨЛ</t>
  </si>
  <si>
    <t>ОРЛОГЫН ЭХ ҮҮСВЭР</t>
  </si>
  <si>
    <t>ТАЙЛБАР</t>
  </si>
  <si>
    <t>ЖИЛИЙН ОРЛОГО</t>
  </si>
  <si>
    <t>Улсын төсөв</t>
  </si>
  <si>
    <t>Сумын ерөнхий төсөв</t>
  </si>
  <si>
    <t>Аймгийн ерөнхий төсөв</t>
  </si>
  <si>
    <t>Иргэдийн эдийн засгийн оролцоо</t>
  </si>
  <si>
    <t>Дахиварын худалдаа</t>
  </si>
  <si>
    <t>Ус, ундааны сав</t>
  </si>
  <si>
    <t>Пивоны сав</t>
  </si>
  <si>
    <t xml:space="preserve">Хуванцар уут, баглаа </t>
  </si>
  <si>
    <t>HDPE болон PP сав</t>
  </si>
  <si>
    <t>Хөнгөн цагаан лааз</t>
  </si>
  <si>
    <t>Шилэн лонх</t>
  </si>
  <si>
    <t>Шилэн сав</t>
  </si>
  <si>
    <t>ХОГ ХАЯГДАЛ ЗОХИЦУУЛАХ ТОГТОЛЦООНЫ ЖИЛИЙН ОРЛОГО ДУНДЖААР:</t>
  </si>
  <si>
    <t>БАЛАНС</t>
  </si>
  <si>
    <t>Дунджаар тооцсон зардал:</t>
  </si>
  <si>
    <t>Дунджаар тооцсон орлого:</t>
  </si>
  <si>
    <t>Баланс:</t>
  </si>
  <si>
    <t>Жилийн нийт төсвөөс гаргах боломжтой хэмжээгээр</t>
  </si>
  <si>
    <t>Сумын ХХЗ-д аймгаас жилд оруулах хувь нэмэр дунджаар</t>
  </si>
  <si>
    <t>Сард нэг өрх 3,000 MNT</t>
  </si>
  <si>
    <t>Бусад хураамж төлөгчид сард 15,000 MNT (дэлгүүр, гм.)</t>
  </si>
  <si>
    <t>Орон нутгийн хог хаягдал зохицуулах өрхийн хураамж</t>
  </si>
  <si>
    <r>
      <t xml:space="preserve">АЖЛЫН ТААМАГ, ТООЦООНЫ ХЭМЖИГДЭХҮҮНҮҮД </t>
    </r>
    <r>
      <rPr>
        <sz val="16"/>
        <color theme="1"/>
        <rFont val="Calibri"/>
        <family val="2"/>
        <scheme val="minor"/>
      </rPr>
      <t>/ WORK HYPOTHESES AND CALCULATION PARAMETERS</t>
    </r>
  </si>
  <si>
    <r>
      <t xml:space="preserve">Ус, ундааны сав </t>
    </r>
    <r>
      <rPr>
        <sz val="10"/>
        <color theme="1"/>
        <rFont val="Calibri"/>
        <family val="2"/>
        <scheme val="minor"/>
      </rPr>
      <t>/ Soda PET bottles</t>
    </r>
  </si>
  <si>
    <r>
      <t xml:space="preserve">Сумын төвийн өрхийн тоо </t>
    </r>
    <r>
      <rPr>
        <sz val="10"/>
        <color theme="1"/>
        <rFont val="Calibri"/>
        <family val="2"/>
        <scheme val="minor"/>
      </rPr>
      <t>/ Number of soum-center households</t>
    </r>
  </si>
  <si>
    <r>
      <t xml:space="preserve">Нийт малчин өрхийн тоо </t>
    </r>
    <r>
      <rPr>
        <sz val="10"/>
        <color theme="1"/>
        <rFont val="Calibri"/>
        <family val="2"/>
        <scheme val="minor"/>
      </rPr>
      <t>/ Number of herder households</t>
    </r>
  </si>
  <si>
    <r>
      <t xml:space="preserve">Дизел түлшний үнэ (литр тутмын үнэ төгрөгөөр) </t>
    </r>
    <r>
      <rPr>
        <sz val="10"/>
        <color theme="1"/>
        <rFont val="Calibri"/>
        <family val="2"/>
        <scheme val="minor"/>
      </rPr>
      <t>/ Price of diesel  (MNT per liter)</t>
    </r>
  </si>
  <si>
    <r>
      <t xml:space="preserve">Хогны машины түлш зарцуулалт (100км тутамд литрээр) </t>
    </r>
    <r>
      <rPr>
        <sz val="10"/>
        <color theme="1"/>
        <rFont val="Calibri"/>
        <family val="2"/>
        <scheme val="minor"/>
      </rPr>
      <t>/ Waste management truck gas consumption (liter per 100 km)</t>
    </r>
  </si>
  <si>
    <r>
      <t xml:space="preserve">Тээвэрлэлтийн зардал 1км/тонн тутамд </t>
    </r>
    <r>
      <rPr>
        <sz val="10"/>
        <color theme="1"/>
        <rFont val="Calibri"/>
        <family val="2"/>
        <scheme val="minor"/>
      </rPr>
      <t>/ Transportation price of 1 ton per km</t>
    </r>
  </si>
  <si>
    <r>
      <t xml:space="preserve">Пивоны сав </t>
    </r>
    <r>
      <rPr>
        <sz val="10"/>
        <color theme="1"/>
        <rFont val="Calibri"/>
        <family val="2"/>
        <scheme val="minor"/>
      </rPr>
      <t>/ Beer PET bottles</t>
    </r>
  </si>
  <si>
    <r>
      <t xml:space="preserve">Хуванцар уут, баглаа </t>
    </r>
    <r>
      <rPr>
        <sz val="10"/>
        <color theme="1"/>
        <rFont val="Calibri"/>
        <family val="2"/>
        <scheme val="minor"/>
      </rPr>
      <t>/ LDPE plastic bags and wrapping</t>
    </r>
  </si>
  <si>
    <r>
      <t xml:space="preserve">HDPE болон PP сав </t>
    </r>
    <r>
      <rPr>
        <sz val="10"/>
        <color theme="1"/>
        <rFont val="Calibri"/>
        <family val="2"/>
        <scheme val="minor"/>
      </rPr>
      <t>/ HDPE and PP containers</t>
    </r>
  </si>
  <si>
    <r>
      <t xml:space="preserve">Хөнгөн цагаан лааз </t>
    </r>
    <r>
      <rPr>
        <sz val="10"/>
        <color theme="1"/>
        <rFont val="Calibri"/>
        <family val="2"/>
        <scheme val="minor"/>
      </rPr>
      <t>/ Aluminum cans</t>
    </r>
  </si>
  <si>
    <r>
      <t xml:space="preserve">Шилэн лонх </t>
    </r>
    <r>
      <rPr>
        <sz val="10"/>
        <color theme="1"/>
        <rFont val="Calibri"/>
        <family val="2"/>
        <scheme val="minor"/>
      </rPr>
      <t>/ Glass bottles</t>
    </r>
  </si>
  <si>
    <r>
      <t xml:space="preserve">Шилэн сав </t>
    </r>
    <r>
      <rPr>
        <sz val="10"/>
        <color theme="1"/>
        <rFont val="Calibri"/>
        <family val="2"/>
        <scheme val="minor"/>
      </rPr>
      <t>/ Glass jars</t>
    </r>
  </si>
  <si>
    <r>
      <t xml:space="preserve">ҮНДСЭН ЗАРДЛУУД </t>
    </r>
    <r>
      <rPr>
        <sz val="20"/>
        <color theme="1"/>
        <rFont val="Calibri"/>
        <family val="2"/>
        <scheme val="minor"/>
      </rPr>
      <t>/ MAIN EXPENSES</t>
    </r>
  </si>
  <si>
    <r>
      <t xml:space="preserve">ТӨСВИЙН ЗАДАРГАА </t>
    </r>
    <r>
      <rPr>
        <sz val="12"/>
        <color theme="1"/>
        <rFont val="Calibri"/>
        <family val="2"/>
        <scheme val="minor"/>
      </rPr>
      <t>/
BUDGET LINE</t>
    </r>
  </si>
  <si>
    <r>
      <t xml:space="preserve">ЗАРДЛЫН ТӨРӨЛ </t>
    </r>
    <r>
      <rPr>
        <sz val="12"/>
        <color theme="1"/>
        <rFont val="Calibri"/>
        <family val="2"/>
        <scheme val="minor"/>
      </rPr>
      <t>/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TYPE OF EXPENSE</t>
    </r>
  </si>
  <si>
    <r>
      <t xml:space="preserve">НЭГЖИЙН ҮНЭ </t>
    </r>
    <r>
      <rPr>
        <sz val="12"/>
        <color theme="1"/>
        <rFont val="Calibri"/>
        <family val="2"/>
        <scheme val="minor"/>
      </rPr>
      <t>/ UNIT COST</t>
    </r>
  </si>
  <si>
    <r>
      <t xml:space="preserve">QUANTITY </t>
    </r>
    <r>
      <rPr>
        <sz val="12"/>
        <color theme="1"/>
        <rFont val="Calibri"/>
        <family val="2"/>
        <scheme val="minor"/>
      </rPr>
      <t>/ ХЭМЖЭЭ</t>
    </r>
  </si>
  <si>
    <r>
      <t xml:space="preserve">АШИГЛАЛТЫН ХУГАЦАА (ЖИЛЭЭР) </t>
    </r>
    <r>
      <rPr>
        <sz val="10"/>
        <color theme="1"/>
        <rFont val="Calibri"/>
        <family val="2"/>
        <scheme val="minor"/>
      </rPr>
      <t>/ AMORTIZATION PERIOD (YEARS)</t>
    </r>
  </si>
  <si>
    <r>
      <t xml:space="preserve">ЖИЛИЙН ЗАРДАЛ </t>
    </r>
    <r>
      <rPr>
        <sz val="12"/>
        <color theme="1"/>
        <rFont val="Calibri"/>
        <family val="2"/>
        <scheme val="minor"/>
      </rPr>
      <t>/ YEARLY COST</t>
    </r>
  </si>
  <si>
    <r>
      <t xml:space="preserve">Үндсэн хөрөнгө оруулалт </t>
    </r>
    <r>
      <rPr>
        <sz val="10"/>
        <color theme="1"/>
        <rFont val="Calibri"/>
        <family val="2"/>
        <scheme val="minor"/>
      </rPr>
      <t>/ Main investments</t>
    </r>
  </si>
  <si>
    <r>
      <t xml:space="preserve">Жилийн урсгал зардал </t>
    </r>
    <r>
      <rPr>
        <sz val="10"/>
        <color theme="1"/>
        <rFont val="Calibri"/>
        <family val="2"/>
        <scheme val="minor"/>
      </rPr>
      <t>/ 
Yearly running costs</t>
    </r>
  </si>
  <si>
    <r>
      <t xml:space="preserve">Дэд бүтэц </t>
    </r>
    <r>
      <rPr>
        <sz val="10"/>
        <color theme="1"/>
        <rFont val="Calibri"/>
        <family val="2"/>
        <scheme val="minor"/>
      </rPr>
      <t>/ 
Infrastructure</t>
    </r>
  </si>
  <si>
    <r>
      <t xml:space="preserve">Тоног төхөөрөмж </t>
    </r>
    <r>
      <rPr>
        <sz val="10"/>
        <color theme="1"/>
        <rFont val="Calibri"/>
        <family val="2"/>
        <scheme val="minor"/>
      </rPr>
      <t>/ 
Equipment</t>
    </r>
  </si>
  <si>
    <r>
      <t xml:space="preserve">Үндсэн хөрөнгө оруулалтын засвар үйлчилгээ </t>
    </r>
    <r>
      <rPr>
        <sz val="10"/>
        <color theme="1"/>
        <rFont val="Calibri"/>
        <family val="2"/>
        <scheme val="minor"/>
      </rPr>
      <t>/ 
Maintenance of main investments</t>
    </r>
  </si>
  <si>
    <r>
      <t xml:space="preserve">Бутэн цагийн ажилтан </t>
    </r>
    <r>
      <rPr>
        <sz val="10"/>
        <color theme="1"/>
        <rFont val="Calibri"/>
        <family val="2"/>
        <scheme val="minor"/>
      </rPr>
      <t>/ 
Full-time staff</t>
    </r>
  </si>
  <si>
    <r>
      <t>Electricity and heating</t>
    </r>
    <r>
      <rPr>
        <sz val="10"/>
        <color theme="1"/>
        <rFont val="Calibri"/>
        <family val="2"/>
        <scheme val="minor"/>
      </rPr>
      <t xml:space="preserve"> / 
Цахилгаан, халаалт</t>
    </r>
  </si>
  <si>
    <r>
      <t xml:space="preserve">Тээвэр </t>
    </r>
    <r>
      <rPr>
        <sz val="10"/>
        <color theme="1"/>
        <rFont val="Calibri"/>
        <family val="2"/>
        <scheme val="minor"/>
      </rPr>
      <t>/ 
Transportation</t>
    </r>
  </si>
  <si>
    <t>BUDGET CALCULATION TOOL FOR SOUM-LEVEL WASTE MANAGEMENT SYSTEM</t>
  </si>
  <si>
    <r>
      <rPr>
        <b/>
        <sz val="10"/>
        <color theme="1"/>
        <rFont val="Calibri"/>
        <family val="2"/>
        <scheme val="minor"/>
      </rPr>
      <t>Хог хаягдал зохицуулах байгууламж (хашаа, барилга гм.)</t>
    </r>
    <r>
      <rPr>
        <sz val="10"/>
        <color theme="1"/>
        <rFont val="Calibri"/>
        <family val="2"/>
        <scheme val="minor"/>
      </rPr>
      <t xml:space="preserve"> / 
WM facility construction (fence, buildings, outside arrangements, etc.)</t>
    </r>
  </si>
  <si>
    <r>
      <rPr>
        <b/>
        <sz val="10"/>
        <color theme="1"/>
        <rFont val="Calibri"/>
        <family val="2"/>
        <scheme val="minor"/>
      </rPr>
      <t>Хогийн цэгийн тохижуулалт (газар шорооны ажил, хашаа гм.)</t>
    </r>
    <r>
      <rPr>
        <sz val="10"/>
        <color theme="1"/>
        <rFont val="Calibri"/>
        <family val="2"/>
        <scheme val="minor"/>
      </rPr>
      <t xml:space="preserve"> / Landfill constrction (landscaping, fence, etc.) </t>
    </r>
  </si>
  <si>
    <r>
      <rPr>
        <b/>
        <sz val="10"/>
        <color theme="1"/>
        <rFont val="Calibri"/>
        <family val="2"/>
        <scheme val="minor"/>
      </rPr>
      <t>Хогны машин</t>
    </r>
    <r>
      <rPr>
        <sz val="10"/>
        <color theme="1"/>
        <rFont val="Calibri"/>
        <family val="2"/>
        <scheme val="minor"/>
      </rPr>
      <t xml:space="preserve"> / 
WM trucks</t>
    </r>
  </si>
  <si>
    <r>
      <rPr>
        <b/>
        <sz val="10"/>
        <color theme="1"/>
        <rFont val="Calibri"/>
        <family val="2"/>
        <scheme val="minor"/>
      </rPr>
      <t>Бульдозер</t>
    </r>
    <r>
      <rPr>
        <sz val="10"/>
        <color theme="1"/>
        <rFont val="Calibri"/>
        <family val="2"/>
        <scheme val="minor"/>
      </rPr>
      <t xml:space="preserve"> / 
Landfill bulldozer</t>
    </r>
  </si>
  <si>
    <r>
      <rPr>
        <b/>
        <sz val="10"/>
        <color theme="1"/>
        <rFont val="Calibri"/>
        <family val="2"/>
        <scheme val="minor"/>
      </rPr>
      <t>Шил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бутлагч</t>
    </r>
    <r>
      <rPr>
        <sz val="10"/>
        <color theme="1"/>
        <rFont val="Calibri"/>
        <family val="2"/>
        <scheme val="minor"/>
      </rPr>
      <t xml:space="preserve"> / 
Glass shredder</t>
    </r>
  </si>
  <si>
    <r>
      <rPr>
        <b/>
        <sz val="10"/>
        <color theme="1"/>
        <rFont val="Calibri"/>
        <family val="2"/>
        <scheme val="minor"/>
      </rPr>
      <t>Хуванцар пресслэгч</t>
    </r>
    <r>
      <rPr>
        <sz val="10"/>
        <color theme="1"/>
        <rFont val="Calibri"/>
        <family val="2"/>
        <scheme val="minor"/>
      </rPr>
      <t xml:space="preserve"> / 
Plastic press</t>
    </r>
  </si>
  <si>
    <r>
      <rPr>
        <b/>
        <sz val="10"/>
        <color theme="1"/>
        <rFont val="Calibri"/>
        <family val="2"/>
        <scheme val="minor"/>
      </rPr>
      <t>Бусад жижиг тоног төхөөрөмж, багаж</t>
    </r>
    <r>
      <rPr>
        <sz val="10"/>
        <color theme="1"/>
        <rFont val="Calibri"/>
        <family val="2"/>
        <scheme val="minor"/>
      </rPr>
      <t xml:space="preserve"> / 
Other small equipment and tools</t>
    </r>
  </si>
  <si>
    <r>
      <rPr>
        <b/>
        <sz val="10"/>
        <color theme="1"/>
        <rFont val="Calibri"/>
        <family val="2"/>
        <scheme val="minor"/>
      </rPr>
      <t>Өрхийн хог ангилах сав</t>
    </r>
    <r>
      <rPr>
        <sz val="10"/>
        <color theme="1"/>
        <rFont val="Calibri"/>
        <family val="2"/>
        <scheme val="minor"/>
      </rPr>
      <t xml:space="preserve"> / 
Soum-center household waste sorting bins</t>
    </r>
  </si>
  <si>
    <r>
      <rPr>
        <b/>
        <sz val="10"/>
        <color theme="1"/>
        <rFont val="Calibri"/>
        <family val="2"/>
        <scheme val="minor"/>
      </rPr>
      <t>Бусад хогийн сав (төрийн байгууллага, гудамж гм.)</t>
    </r>
    <r>
      <rPr>
        <sz val="10"/>
        <color theme="1"/>
        <rFont val="Calibri"/>
        <family val="2"/>
        <scheme val="minor"/>
      </rPr>
      <t xml:space="preserve"> / 
Other bins (public institutions, streets, etc.)</t>
    </r>
  </si>
  <si>
    <r>
      <rPr>
        <b/>
        <sz val="10"/>
        <color theme="1"/>
        <rFont val="Calibri"/>
        <family val="2"/>
        <scheme val="minor"/>
      </rPr>
      <t>Хог хаягдал зохицуулах байгууламжийн засвар үйлчилгээ</t>
    </r>
    <r>
      <rPr>
        <sz val="10"/>
        <color theme="1"/>
        <rFont val="Calibri"/>
        <family val="2"/>
        <scheme val="minor"/>
      </rPr>
      <t xml:space="preserve"> / Maintenance of WM facility</t>
    </r>
  </si>
  <si>
    <r>
      <rPr>
        <b/>
        <sz val="10"/>
        <color theme="1"/>
        <rFont val="Calibri"/>
        <family val="2"/>
        <scheme val="minor"/>
      </rPr>
      <t>Хогийн цэгийн засвар үйлчилгээ</t>
    </r>
    <r>
      <rPr>
        <sz val="10"/>
        <color theme="1"/>
        <rFont val="Calibri"/>
        <family val="2"/>
        <scheme val="minor"/>
      </rPr>
      <t xml:space="preserve"> / 
Maintenance of landfill</t>
    </r>
  </si>
  <si>
    <r>
      <rPr>
        <b/>
        <sz val="10"/>
        <color theme="1"/>
        <rFont val="Calibri"/>
        <family val="2"/>
        <scheme val="minor"/>
      </rPr>
      <t>Хогны машины засвар үйлчилгээ</t>
    </r>
    <r>
      <rPr>
        <sz val="10"/>
        <color theme="1"/>
        <rFont val="Calibri"/>
        <family val="2"/>
        <scheme val="minor"/>
      </rPr>
      <t xml:space="preserve"> / 
Maintenance of WM trucks</t>
    </r>
  </si>
  <si>
    <r>
      <rPr>
        <b/>
        <sz val="10"/>
        <color theme="1"/>
        <rFont val="Calibri"/>
        <family val="2"/>
        <scheme val="minor"/>
      </rPr>
      <t>Бульдозерийн засвар үйлчилгээ</t>
    </r>
    <r>
      <rPr>
        <sz val="10"/>
        <color theme="1"/>
        <rFont val="Calibri"/>
        <family val="2"/>
        <scheme val="minor"/>
      </rPr>
      <t xml:space="preserve"> / 
Maintenance of landfill bulldozer</t>
    </r>
  </si>
  <si>
    <r>
      <rPr>
        <b/>
        <sz val="10"/>
        <color theme="1"/>
        <rFont val="Calibri"/>
        <family val="2"/>
        <scheme val="minor"/>
      </rPr>
      <t>Бутлагч болон пресслэгч машины засвар үйлчилгээ</t>
    </r>
    <r>
      <rPr>
        <sz val="10"/>
        <color theme="1"/>
        <rFont val="Calibri"/>
        <family val="2"/>
        <scheme val="minor"/>
      </rPr>
      <t xml:space="preserve"> / 
Maintenance of shredder and press</t>
    </r>
  </si>
  <si>
    <r>
      <rPr>
        <b/>
        <sz val="10"/>
        <color theme="1"/>
        <rFont val="Calibri"/>
        <family val="2"/>
        <scheme val="minor"/>
      </rPr>
      <t>ХХ зохицуулах төвийн ажилтнууд болон ачигч</t>
    </r>
    <r>
      <rPr>
        <sz val="10"/>
        <color theme="1"/>
        <rFont val="Calibri"/>
        <family val="2"/>
        <scheme val="minor"/>
      </rPr>
      <t xml:space="preserve"> / 
WM facility workers and waste collectors</t>
    </r>
  </si>
  <si>
    <r>
      <rPr>
        <b/>
        <sz val="10"/>
        <color theme="1"/>
        <rFont val="Calibri"/>
        <family val="2"/>
        <scheme val="minor"/>
      </rPr>
      <t>ХХ зохицуулах төвийн цахилгаан, халаалт</t>
    </r>
    <r>
      <rPr>
        <sz val="10"/>
        <color theme="1"/>
        <rFont val="Calibri"/>
        <family val="2"/>
        <scheme val="minor"/>
      </rPr>
      <t xml:space="preserve"> / 
Electricity and heating of WM facility</t>
    </r>
  </si>
  <si>
    <r>
      <rPr>
        <b/>
        <sz val="10"/>
        <color theme="1"/>
        <rFont val="Calibri"/>
        <family val="2"/>
        <scheme val="minor"/>
      </rPr>
      <t>Сумын төвийн өрхүүдийн хогийг ачих түлш</t>
    </r>
    <r>
      <rPr>
        <sz val="10"/>
        <color theme="1"/>
        <rFont val="Calibri"/>
        <family val="2"/>
        <scheme val="minor"/>
      </rPr>
      <t xml:space="preserve"> / 
Gas for waste collection to households within soum-center</t>
    </r>
  </si>
  <si>
    <r>
      <rPr>
        <b/>
        <sz val="10"/>
        <color theme="1"/>
        <rFont val="Calibri"/>
        <family val="2"/>
        <scheme val="minor"/>
      </rPr>
      <t>Эцсийн хогийг ХХ зохицуулах төвөөс хогийн цэг рүү тээвэрлэх түлш</t>
    </r>
    <r>
      <rPr>
        <sz val="10"/>
        <color theme="1"/>
        <rFont val="Calibri"/>
        <family val="2"/>
        <scheme val="minor"/>
      </rPr>
      <t xml:space="preserve"> / Gas for transporting ultimate waste from WM facility to landfill</t>
    </r>
  </si>
  <si>
    <r>
      <rPr>
        <b/>
        <sz val="10"/>
        <color theme="1"/>
        <rFont val="Calibri"/>
        <family val="2"/>
        <scheme val="minor"/>
      </rPr>
      <t>Бульдозерийн түлш</t>
    </r>
    <r>
      <rPr>
        <sz val="10"/>
        <color theme="1"/>
        <rFont val="Calibri"/>
        <family val="2"/>
        <scheme val="minor"/>
      </rPr>
      <t xml:space="preserve"> / 
Gas for landfill bulldozer</t>
    </r>
  </si>
  <si>
    <r>
      <rPr>
        <b/>
        <sz val="10"/>
        <color theme="1"/>
        <rFont val="Calibri"/>
        <family val="2"/>
        <scheme val="minor"/>
      </rPr>
      <t>Төв суурингийн үйлдвэрүүд рүү дахивар тээвэрлэх зардал (тонноор)</t>
    </r>
    <r>
      <rPr>
        <sz val="10"/>
        <color theme="1"/>
        <rFont val="Calibri"/>
        <family val="2"/>
        <scheme val="minor"/>
      </rPr>
      <t xml:space="preserve"> / Transportation costs of recyclables to urban facilities (per ton)</t>
    </r>
  </si>
  <si>
    <r>
      <t xml:space="preserve">ҮНДСЭН ОРЛОГО </t>
    </r>
    <r>
      <rPr>
        <sz val="20"/>
        <color theme="1"/>
        <rFont val="Calibri"/>
        <family val="2"/>
        <scheme val="minor"/>
      </rPr>
      <t>/ MAIN INCOMES</t>
    </r>
  </si>
  <si>
    <r>
      <t xml:space="preserve">ОРЛОГЫН ТӨРӨЛ </t>
    </r>
    <r>
      <rPr>
        <sz val="12"/>
        <color theme="1"/>
        <rFont val="Calibri"/>
        <family val="2"/>
        <scheme val="minor"/>
      </rPr>
      <t>/ CATEGORY OF INCOME</t>
    </r>
  </si>
  <si>
    <r>
      <t xml:space="preserve">ОРЛОГЫН ЭХ ҮҮСВЭР </t>
    </r>
    <r>
      <rPr>
        <sz val="12"/>
        <color theme="1"/>
        <rFont val="Calibri"/>
        <family val="2"/>
        <scheme val="minor"/>
      </rPr>
      <t>/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SOURCE OF INCOME</t>
    </r>
    <r>
      <rPr>
        <b/>
        <sz val="12"/>
        <color theme="1"/>
        <rFont val="Calibri"/>
        <family val="2"/>
        <scheme val="minor"/>
      </rPr>
      <t xml:space="preserve"> </t>
    </r>
  </si>
  <si>
    <r>
      <t xml:space="preserve">ТАЙЛБАР </t>
    </r>
    <r>
      <rPr>
        <sz val="12"/>
        <color theme="1"/>
        <rFont val="Calibri"/>
        <family val="2"/>
        <scheme val="minor"/>
      </rPr>
      <t>/ 
COMMENT</t>
    </r>
  </si>
  <si>
    <r>
      <t xml:space="preserve">НЭГЖИЙН ҮНЭ </t>
    </r>
    <r>
      <rPr>
        <sz val="12"/>
        <color theme="1"/>
        <rFont val="Calibri"/>
        <family val="2"/>
        <scheme val="minor"/>
      </rPr>
      <t>/ UNIT AMOUNT</t>
    </r>
  </si>
  <si>
    <r>
      <t xml:space="preserve">ХЭМЖЭЭ </t>
    </r>
    <r>
      <rPr>
        <sz val="12"/>
        <color theme="1"/>
        <rFont val="Calibri"/>
        <family val="2"/>
        <scheme val="minor"/>
      </rPr>
      <t>/ QUANTITY</t>
    </r>
  </si>
  <si>
    <r>
      <t xml:space="preserve">ЖИЛИЙН ОРЛОГО </t>
    </r>
    <r>
      <rPr>
        <sz val="12"/>
        <color theme="1"/>
        <rFont val="Calibri"/>
        <family val="2"/>
        <scheme val="minor"/>
      </rPr>
      <t>/ YEARLY INCOME</t>
    </r>
  </si>
  <si>
    <r>
      <t>Улсын төсөв</t>
    </r>
    <r>
      <rPr>
        <sz val="10"/>
        <color theme="1"/>
        <rFont val="Calibri"/>
        <family val="2"/>
        <scheme val="minor"/>
      </rPr>
      <t xml:space="preserve"> / 
Public administration budget</t>
    </r>
  </si>
  <si>
    <r>
      <t>Иргэдийн эдийн засгийн оролцоо</t>
    </r>
    <r>
      <rPr>
        <sz val="10"/>
        <color theme="1"/>
        <rFont val="Calibri"/>
        <family val="2"/>
        <scheme val="minor"/>
      </rPr>
      <t xml:space="preserve"> / Financial contribution of the people</t>
    </r>
  </si>
  <si>
    <r>
      <t xml:space="preserve">Дахиварын худалдаа </t>
    </r>
    <r>
      <rPr>
        <sz val="10"/>
        <color theme="1"/>
        <rFont val="Calibri"/>
        <family val="2"/>
        <scheme val="minor"/>
      </rPr>
      <t>/ 
Trade of recyclables</t>
    </r>
  </si>
  <si>
    <r>
      <t xml:space="preserve">Сумын ерөнхий төсөв </t>
    </r>
    <r>
      <rPr>
        <sz val="10"/>
        <color theme="1"/>
        <rFont val="Calibri"/>
        <family val="2"/>
        <scheme val="minor"/>
      </rPr>
      <t>/ 
Soum general budget</t>
    </r>
  </si>
  <si>
    <r>
      <t>Аймгийн ерөнхий төсөв</t>
    </r>
    <r>
      <rPr>
        <sz val="10"/>
        <color theme="1"/>
        <rFont val="Calibri"/>
        <family val="2"/>
        <scheme val="minor"/>
      </rPr>
      <t xml:space="preserve"> / 
Aimag general budget</t>
    </r>
  </si>
  <si>
    <r>
      <t xml:space="preserve">Орон нутгийн хог хаягдал зохицуулах өрхийн хураамж </t>
    </r>
    <r>
      <rPr>
        <sz val="10"/>
        <color theme="1"/>
        <rFont val="Calibri"/>
        <family val="2"/>
        <scheme val="minor"/>
      </rPr>
      <t>/ WM household local tax</t>
    </r>
  </si>
  <si>
    <r>
      <rPr>
        <b/>
        <sz val="10"/>
        <color theme="1"/>
        <rFont val="Calibri"/>
        <family val="2"/>
        <scheme val="minor"/>
      </rPr>
      <t>Хог хаягдал зохицуулах хураамж төлөгчид</t>
    </r>
    <r>
      <rPr>
        <sz val="10"/>
        <color theme="1"/>
        <rFont val="Calibri"/>
        <family val="2"/>
        <scheme val="minor"/>
      </rPr>
      <t xml:space="preserve"> / Other WM taxpayers</t>
    </r>
  </si>
  <si>
    <r>
      <t xml:space="preserve">Хуванцар уут, баглаа </t>
    </r>
    <r>
      <rPr>
        <sz val="10"/>
        <color theme="1"/>
        <rFont val="Calibri"/>
        <family val="2"/>
        <scheme val="minor"/>
      </rPr>
      <t>/ 
LDPE plastic bags and wrapping</t>
    </r>
  </si>
  <si>
    <r>
      <t xml:space="preserve">Ус, ундааны сав </t>
    </r>
    <r>
      <rPr>
        <sz val="10"/>
        <color theme="1"/>
        <rFont val="Calibri"/>
        <family val="2"/>
        <scheme val="minor"/>
      </rPr>
      <t>/ 
Soda PET bottles</t>
    </r>
  </si>
  <si>
    <r>
      <t xml:space="preserve">Пивоны сав </t>
    </r>
    <r>
      <rPr>
        <sz val="10"/>
        <color theme="1"/>
        <rFont val="Calibri"/>
        <family val="2"/>
        <scheme val="minor"/>
      </rPr>
      <t>/ 
Beer PET bottles</t>
    </r>
  </si>
  <si>
    <r>
      <t xml:space="preserve">HDPE болон PP сав </t>
    </r>
    <r>
      <rPr>
        <sz val="10"/>
        <color theme="1"/>
        <rFont val="Calibri"/>
        <family val="2"/>
        <scheme val="minor"/>
      </rPr>
      <t>/ 
HDPE and PP containers</t>
    </r>
  </si>
  <si>
    <r>
      <t xml:space="preserve">Хөнгөн цагаан лааз </t>
    </r>
    <r>
      <rPr>
        <sz val="10"/>
        <color theme="1"/>
        <rFont val="Calibri"/>
        <family val="2"/>
        <scheme val="minor"/>
      </rPr>
      <t>/ 
Aluminum cans</t>
    </r>
  </si>
  <si>
    <r>
      <t xml:space="preserve">Шилэн лонх </t>
    </r>
    <r>
      <rPr>
        <sz val="10"/>
        <color theme="1"/>
        <rFont val="Calibri"/>
        <family val="2"/>
        <scheme val="minor"/>
      </rPr>
      <t>/ 
Glass bottles</t>
    </r>
  </si>
  <si>
    <r>
      <t xml:space="preserve">Шилэн сав </t>
    </r>
    <r>
      <rPr>
        <sz val="10"/>
        <color theme="1"/>
        <rFont val="Calibri"/>
        <family val="2"/>
        <scheme val="minor"/>
      </rPr>
      <t>/ 
Glass jars</t>
    </r>
  </si>
  <si>
    <r>
      <rPr>
        <b/>
        <sz val="10"/>
        <color theme="1"/>
        <rFont val="Calibri"/>
        <family val="2"/>
        <scheme val="minor"/>
      </rPr>
      <t>Жилийн нийт төсвөөс гаргах боломжтой хэмжээгээр</t>
    </r>
    <r>
      <rPr>
        <sz val="10"/>
        <color theme="1"/>
        <rFont val="Calibri"/>
        <family val="2"/>
        <scheme val="minor"/>
      </rPr>
      <t xml:space="preserve"> / 
Realistic amount that can be taken from total yearly budget</t>
    </r>
  </si>
  <si>
    <r>
      <rPr>
        <b/>
        <sz val="10"/>
        <color theme="1"/>
        <rFont val="Calibri"/>
        <family val="2"/>
        <scheme val="minor"/>
      </rPr>
      <t>Сумын ХХЗ-д аймгаас жилд оруулах хувь нэмэр дунджаар</t>
    </r>
    <r>
      <rPr>
        <sz val="10"/>
        <color theme="1"/>
        <rFont val="Calibri"/>
        <family val="2"/>
        <scheme val="minor"/>
      </rPr>
      <t xml:space="preserve"> /
Average yearly aimag contribution to soum-level WM investments</t>
    </r>
  </si>
  <si>
    <r>
      <rPr>
        <b/>
        <sz val="10"/>
        <color theme="1"/>
        <rFont val="Calibri"/>
        <family val="2"/>
        <scheme val="minor"/>
      </rPr>
      <t>Сард нэг өрх 3,000 MNT</t>
    </r>
    <r>
      <rPr>
        <sz val="10"/>
        <color theme="1"/>
        <rFont val="Calibri"/>
        <family val="2"/>
        <scheme val="minor"/>
      </rPr>
      <t xml:space="preserve"> / 
3,000 MNT per month per household</t>
    </r>
  </si>
  <si>
    <r>
      <rPr>
        <b/>
        <sz val="10"/>
        <color theme="1"/>
        <rFont val="Calibri"/>
        <family val="2"/>
        <scheme val="minor"/>
      </rPr>
      <t>Бусад хураамж төлөгчид сард 15,000 MNT (дэлгүүр, гм.)</t>
    </r>
    <r>
      <rPr>
        <sz val="10"/>
        <color theme="1"/>
        <rFont val="Calibri"/>
        <family val="2"/>
        <scheme val="minor"/>
      </rPr>
      <t xml:space="preserve"> / 
10,000 MNT per month on average of other taxpayers (shops, etc.)</t>
    </r>
  </si>
  <si>
    <r>
      <rPr>
        <b/>
        <sz val="10"/>
        <color theme="1"/>
        <rFont val="Calibri"/>
        <family val="2"/>
        <scheme val="minor"/>
      </rPr>
      <t xml:space="preserve">Хэмжээ (кг) суурь судалгаа болон хогны аудитын үр дүнд суурилсан тооцоо :                                                                                                                                            Шилэн лонхны дундаж жин 500гр / Дундаж үнэ : нэг шил 50 төг
Шилэн савны дундаж жин : 300гр / Дундаж үнэ : нэг сав 30 төг
</t>
    </r>
    <r>
      <rPr>
        <sz val="10"/>
        <color theme="1"/>
        <rFont val="Calibri"/>
        <family val="2"/>
        <scheme val="minor"/>
      </rPr>
      <t xml:space="preserve">
Quantity (kg) estimated based on baseline study and waste audit results
Average glass bottle weight : 500g / Average price : 50 MNT per bottle
Average glass jar weight : 300g / Average price : 30 MNT per jar</t>
    </r>
  </si>
  <si>
    <r>
      <t xml:space="preserve">ХОГ ХАЯГДАЛ ЗОХИЦУУЛАХ ТОГТОЛЦООНЫ ЖИЛИЙН ОРЛОГО ДУНДЖААР </t>
    </r>
    <r>
      <rPr>
        <sz val="11"/>
        <color theme="1"/>
        <rFont val="Calibri"/>
        <family val="2"/>
        <scheme val="minor"/>
      </rPr>
      <t>/ WASTE MANAGEMENT SYSTEM APP. TOTAL YEARLY INCOME:</t>
    </r>
  </si>
  <si>
    <r>
      <t xml:space="preserve">ХОГ ХАЯГДАЛ ЗОХИЦУУЛАХ ТОГТОЛЦООНЫ ЖИЛИЙН ЗАРДАЛ ДУНДЖААР </t>
    </r>
    <r>
      <rPr>
        <sz val="11"/>
        <color theme="1"/>
        <rFont val="Calibri"/>
        <family val="2"/>
        <scheme val="minor"/>
      </rPr>
      <t>/ WASTE MANAGEMENT SYSTEM APP. TOTAL YEARLY COST:</t>
    </r>
  </si>
  <si>
    <r>
      <t xml:space="preserve">Хог хаягдал үүсгэгч том компаниудын оруулах хувь нэмэр </t>
    </r>
    <r>
      <rPr>
        <sz val="10"/>
        <color theme="2" tint="-0.499984740745262"/>
        <rFont val="Calibri"/>
        <family val="2"/>
        <scheme val="minor"/>
      </rPr>
      <t>/ 
Contribution of large companies who produce our waste</t>
    </r>
  </si>
  <si>
    <r>
      <rPr>
        <b/>
        <sz val="10"/>
        <color theme="2" tint="-0.499984740745262"/>
        <rFont val="Calibri"/>
        <family val="2"/>
        <scheme val="minor"/>
      </rPr>
      <t>Мөнгөн хэлбэрээр эсвэл ложистикийн шийдлээр зардал бууруулахад хувь нэмэр оруулах</t>
    </r>
    <r>
      <rPr>
        <sz val="10"/>
        <color theme="2" tint="-0.499984740745262"/>
        <rFont val="Calibri"/>
        <family val="2"/>
        <scheme val="minor"/>
      </rPr>
      <t xml:space="preserve"> / Financial input or logistics contriobution to reduce costs</t>
    </r>
  </si>
  <si>
    <r>
      <t xml:space="preserve">БАЛАНС </t>
    </r>
    <r>
      <rPr>
        <sz val="20"/>
        <color theme="1"/>
        <rFont val="Calibri"/>
        <family val="2"/>
        <scheme val="minor"/>
      </rPr>
      <t>/ BALANCE</t>
    </r>
  </si>
  <si>
    <r>
      <t xml:space="preserve">Дунджаар тооцсон зардал </t>
    </r>
    <r>
      <rPr>
        <sz val="16"/>
        <color theme="1"/>
        <rFont val="Calibri"/>
        <family val="2"/>
        <scheme val="minor"/>
      </rPr>
      <t>/ Estimated expenses:</t>
    </r>
  </si>
  <si>
    <r>
      <t xml:space="preserve">Дунджаар тооцсон орлого </t>
    </r>
    <r>
      <rPr>
        <sz val="16"/>
        <color theme="1"/>
        <rFont val="Calibri"/>
        <family val="2"/>
        <scheme val="minor"/>
      </rPr>
      <t>/ Estimated incomes:</t>
    </r>
  </si>
  <si>
    <r>
      <t xml:space="preserve">Баланс </t>
    </r>
    <r>
      <rPr>
        <sz val="16"/>
        <color theme="1"/>
        <rFont val="Calibri"/>
        <family val="2"/>
        <scheme val="minor"/>
      </rPr>
      <t>/ Balance:</t>
    </r>
  </si>
  <si>
    <t>CATEGORY OF EXPENSE</t>
  </si>
  <si>
    <t>CATEGORY OF INCOME</t>
  </si>
  <si>
    <t>Хэмжээ (кг) суурь судалгаа болон хогны аудитын үр дүнд суурилсан тооцоо :                                                                                                                                            Шилэн лонхны дундаж жин 500гр / Дундаж үнэ : нэг шил 50 төг
Шилэн савны дундаж жин : 300гр / Дундаж үнэ : нэг сав 30 төг</t>
  </si>
  <si>
    <t>Quantity (kg) estimated based on baseline study and waste audit results
Average glass bottle weight : 500g / Average price : 50 MNT per bottle
Average glass jar weight : 300g / Average price : 30 MNT per jar</t>
  </si>
  <si>
    <t>Хог хаягдал зохицуулах хураамж төлөгчид</t>
  </si>
  <si>
    <t>СУМЫН ХОГ ХАЯГДАЛ ЗОХИЦУУЛАХ ТОГТОЛЦООНЫ ТӨСВИЙН ТООЦООЛУУР</t>
  </si>
  <si>
    <r>
      <t xml:space="preserve">СУМТАЙ ХОЛБООТОЙ ӨГӨГДЛҮҮД </t>
    </r>
    <r>
      <rPr>
        <sz val="14"/>
        <color theme="1"/>
        <rFont val="Calibri"/>
        <family val="2"/>
        <scheme val="minor"/>
      </rPr>
      <t>/ 
SOUM-RELATED VARIABLES</t>
    </r>
  </si>
  <si>
    <r>
      <rPr>
        <b/>
        <sz val="10"/>
        <rFont val="Calibri (Corps)"/>
      </rPr>
      <t>Сумаас Улаанбаатар хүрэх зай км-ээр</t>
    </r>
    <r>
      <rPr>
        <b/>
        <sz val="10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/ App. distance from soum to Ulaanbaatar (km)</t>
    </r>
  </si>
  <si>
    <r>
      <rPr>
        <b/>
        <sz val="14"/>
        <rFont val="Calibri (Corps)"/>
      </rPr>
      <t>ТЭЭВРИЙН ӨГӨГДЛҮҮД</t>
    </r>
    <r>
      <rPr>
        <b/>
        <sz val="14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/ 
TRANSPORTATION VARIABLES</t>
    </r>
  </si>
  <si>
    <r>
      <rPr>
        <b/>
        <sz val="14"/>
        <rFont val="Calibri (Corps)"/>
      </rPr>
      <t>ДАХИН АШИГЛАХ/БОЛОВСРУУЛАХ ДАХИВАР ХУДАЛДАХ ҮНЭ</t>
    </r>
    <r>
      <rPr>
        <sz val="14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/ REUSABLE/REYCLABLE WASTE PURCHASING PRICES</t>
    </r>
  </si>
  <si>
    <t xml:space="preserve"> </t>
  </si>
  <si>
    <r>
      <rPr>
        <b/>
        <sz val="12"/>
        <color theme="1"/>
        <rFont val="Calibri (Corps)"/>
      </rPr>
      <t>ЗАРДЛЫН ТӨРЛҮҮД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/ CATEGORY OF EXPENSE</t>
    </r>
  </si>
  <si>
    <t>ЗАРДЛЫН ТӨРЛҮҮД</t>
  </si>
  <si>
    <t>Budget of public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</si>
</sst>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* #,##0.00_)\ &quot;€&quot;_ ;_ * \(#,##0.00\)\ &quot;€&quot;_ ;_ * &quot;-&quot;??_)\ &quot;€&quot;_ ;_ @_ "/>
    <numFmt numFmtId="164" formatCode="_ * #,##0_)\ [$MNT]_ ;_ * \(#,##0\)\ [$MNT]_ ;_ * &quot;-&quot;_)\ [$MNT]_ ;_ @_ "/>
    <numFmt numFmtId="165" formatCode="_-* #,##0.00\ [$€-40C]_-;\-* #,##0.00\ [$€-40C]_-;_-* &quot;-&quot;??\ [$€-40C]_-;_-@_-"/>
    <numFmt numFmtId="166" formatCode="#,##0\ [$MNT]"/>
    <numFmt numFmtId="167" formatCode="#,##0\ [$MNT]_);\(#,##0\ [$MNT]\)"/>
  </numFmts>
  <fonts count="2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2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rgb="FF000000"/>
      <name val="Open Sans"/>
      <family val="34"/>
    </font>
    <font>
      <sz val="10"/>
      <color rgb="FF000000"/>
      <name val="Open Sans"/>
      <family val="34"/>
    </font>
    <font>
      <b/>
      <sz val="10"/>
      <color rgb="FFFF0000"/>
      <name val="Open Sans"/>
      <family val="34"/>
    </font>
    <font>
      <b/>
      <sz val="24"/>
      <name val="Calibri"/>
      <family val="2"/>
      <scheme val="minor"/>
    </font>
    <font>
      <b/>
      <sz val="10"/>
      <name val="Calibri (Corps)"/>
    </font>
    <font>
      <b/>
      <sz val="14"/>
      <name val="Calibri (Corps)"/>
    </font>
    <font>
      <sz val="14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2"/>
      <color theme="1"/>
      <name val="Calibri (Corps)"/>
    </font>
    <font>
      <b/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77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86">
    <xf numFmtId="0" fontId="0" fillId="0" borderId="0" xfId="0"/>
    <xf numFmtId="0" fontId="6" fillId="0" borderId="1" xfId="0" applyFont="1" applyBorder="1"/>
    <xf numFmtId="164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/>
    <xf numFmtId="164" fontId="6" fillId="0" borderId="7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6" fillId="0" borderId="13" xfId="0" applyFont="1" applyBorder="1"/>
    <xf numFmtId="164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0" fontId="6" fillId="0" borderId="2" xfId="0" applyFont="1" applyBorder="1"/>
    <xf numFmtId="16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11" fillId="0" borderId="16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6" fontId="7" fillId="2" borderId="0" xfId="0" applyNumberFormat="1" applyFont="1" applyFill="1"/>
    <xf numFmtId="167" fontId="7" fillId="3" borderId="0" xfId="0" applyNumberFormat="1" applyFont="1" applyFill="1" applyAlignment="1">
      <alignment horizontal="right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6" fillId="0" borderId="3" xfId="0" applyFont="1" applyBorder="1"/>
    <xf numFmtId="164" fontId="6" fillId="0" borderId="28" xfId="0" applyNumberFormat="1" applyFont="1" applyBorder="1" applyAlignment="1">
      <alignment horizontal="center" vertical="center"/>
    </xf>
    <xf numFmtId="0" fontId="0" fillId="5" borderId="0" xfId="0" applyFill="1"/>
    <xf numFmtId="164" fontId="0" fillId="5" borderId="0" xfId="0" applyNumberFormat="1" applyFill="1"/>
    <xf numFmtId="9" fontId="0" fillId="5" borderId="0" xfId="1" applyFont="1" applyFill="1"/>
    <xf numFmtId="0" fontId="8" fillId="5" borderId="0" xfId="0" applyFont="1" applyFill="1"/>
    <xf numFmtId="164" fontId="8" fillId="5" borderId="0" xfId="0" applyNumberFormat="1" applyFont="1" applyFill="1" applyAlignment="1"/>
    <xf numFmtId="1" fontId="0" fillId="5" borderId="0" xfId="0" applyNumberFormat="1" applyFill="1"/>
    <xf numFmtId="0" fontId="3" fillId="5" borderId="0" xfId="0" applyFont="1" applyFill="1"/>
    <xf numFmtId="166" fontId="0" fillId="5" borderId="0" xfId="0" applyNumberFormat="1" applyFill="1"/>
    <xf numFmtId="166" fontId="3" fillId="5" borderId="0" xfId="0" applyNumberFormat="1" applyFont="1" applyFill="1"/>
    <xf numFmtId="9" fontId="0" fillId="5" borderId="0" xfId="0" applyNumberFormat="1" applyFill="1"/>
    <xf numFmtId="0" fontId="6" fillId="0" borderId="16" xfId="0" applyFont="1" applyBorder="1"/>
    <xf numFmtId="164" fontId="6" fillId="0" borderId="17" xfId="0" applyNumberFormat="1" applyFont="1" applyBorder="1" applyAlignment="1">
      <alignment horizontal="center" vertical="center"/>
    </xf>
    <xf numFmtId="9" fontId="0" fillId="5" borderId="0" xfId="0" applyNumberFormat="1" applyFill="1" applyAlignment="1"/>
    <xf numFmtId="9" fontId="0" fillId="5" borderId="0" xfId="0" applyNumberFormat="1" applyFill="1" applyAlignment="1">
      <alignment horizontal="right"/>
    </xf>
    <xf numFmtId="165" fontId="0" fillId="5" borderId="0" xfId="0" applyNumberFormat="1" applyFill="1"/>
    <xf numFmtId="166" fontId="13" fillId="2" borderId="0" xfId="0" applyNumberFormat="1" applyFont="1" applyFill="1"/>
    <xf numFmtId="166" fontId="13" fillId="3" borderId="0" xfId="0" applyNumberFormat="1" applyFont="1" applyFill="1"/>
    <xf numFmtId="166" fontId="14" fillId="2" borderId="0" xfId="0" applyNumberFormat="1" applyFont="1" applyFill="1"/>
    <xf numFmtId="0" fontId="14" fillId="0" borderId="0" xfId="0" applyFont="1"/>
    <xf numFmtId="166" fontId="14" fillId="3" borderId="0" xfId="0" applyNumberFormat="1" applyFont="1" applyFill="1"/>
    <xf numFmtId="166" fontId="12" fillId="5" borderId="0" xfId="0" applyNumberFormat="1" applyFont="1" applyFill="1"/>
    <xf numFmtId="0" fontId="8" fillId="5" borderId="0" xfId="0" applyFont="1" applyFill="1" applyAlignment="1">
      <alignment horizontal="right"/>
    </xf>
    <xf numFmtId="0" fontId="4" fillId="5" borderId="0" xfId="0" applyFont="1" applyFill="1" applyAlignment="1">
      <alignment horizontal="right"/>
    </xf>
    <xf numFmtId="0" fontId="5" fillId="2" borderId="16" xfId="0" applyFont="1" applyFill="1" applyBorder="1" applyAlignment="1">
      <alignment horizontal="center" vertical="center" wrapText="1"/>
    </xf>
    <xf numFmtId="1" fontId="11" fillId="0" borderId="16" xfId="0" applyNumberFormat="1" applyFont="1" applyBorder="1" applyAlignment="1">
      <alignment horizontal="center" vertical="center"/>
    </xf>
    <xf numFmtId="164" fontId="11" fillId="0" borderId="17" xfId="0" applyNumberFormat="1" applyFont="1" applyBorder="1" applyAlignment="1">
      <alignment vertical="center"/>
    </xf>
    <xf numFmtId="0" fontId="0" fillId="5" borderId="0" xfId="0" applyFill="1" applyBorder="1" applyAlignment="1"/>
    <xf numFmtId="0" fontId="6" fillId="0" borderId="13" xfId="0" applyFont="1" applyBorder="1" applyAlignment="1">
      <alignment wrapText="1"/>
    </xf>
    <xf numFmtId="0" fontId="5" fillId="2" borderId="5" xfId="0" applyFont="1" applyFill="1" applyBorder="1" applyAlignment="1">
      <alignment horizontal="center" vertical="center" wrapText="1"/>
    </xf>
    <xf numFmtId="0" fontId="9" fillId="5" borderId="0" xfId="0" applyFont="1" applyFill="1"/>
    <xf numFmtId="0" fontId="4" fillId="5" borderId="0" xfId="0" applyFont="1" applyFill="1"/>
    <xf numFmtId="0" fontId="16" fillId="5" borderId="0" xfId="0" applyFont="1" applyFill="1"/>
    <xf numFmtId="0" fontId="7" fillId="5" borderId="0" xfId="0" applyFont="1" applyFill="1" applyBorder="1" applyAlignment="1">
      <alignment vertical="center"/>
    </xf>
    <xf numFmtId="0" fontId="7" fillId="5" borderId="0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 wrapText="1"/>
    </xf>
    <xf numFmtId="0" fontId="4" fillId="6" borderId="18" xfId="0" applyFont="1" applyFill="1" applyBorder="1" applyAlignment="1">
      <alignment vertical="top"/>
    </xf>
    <xf numFmtId="0" fontId="0" fillId="6" borderId="19" xfId="0" applyFill="1" applyBorder="1"/>
    <xf numFmtId="0" fontId="0" fillId="6" borderId="20" xfId="0" applyFill="1" applyBorder="1"/>
    <xf numFmtId="0" fontId="0" fillId="6" borderId="0" xfId="0" applyFill="1" applyBorder="1"/>
    <xf numFmtId="0" fontId="3" fillId="6" borderId="21" xfId="0" applyFont="1" applyFill="1" applyBorder="1" applyAlignment="1">
      <alignment vertical="center"/>
    </xf>
    <xf numFmtId="0" fontId="3" fillId="6" borderId="0" xfId="0" applyFont="1" applyFill="1" applyBorder="1" applyAlignment="1">
      <alignment vertical="center"/>
    </xf>
    <xf numFmtId="0" fontId="0" fillId="6" borderId="47" xfId="0" applyFill="1" applyBorder="1"/>
    <xf numFmtId="0" fontId="0" fillId="6" borderId="48" xfId="0" applyFill="1" applyBorder="1"/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44" fontId="0" fillId="5" borderId="0" xfId="2" applyFont="1" applyFill="1" applyAlignment="1"/>
    <xf numFmtId="0" fontId="14" fillId="5" borderId="0" xfId="0" applyFont="1" applyFill="1"/>
    <xf numFmtId="3" fontId="0" fillId="5" borderId="0" xfId="0" applyNumberFormat="1" applyFill="1"/>
    <xf numFmtId="2" fontId="14" fillId="5" borderId="0" xfId="0" applyNumberFormat="1" applyFont="1" applyFill="1"/>
    <xf numFmtId="164" fontId="6" fillId="0" borderId="8" xfId="0" applyNumberFormat="1" applyFont="1" applyBorder="1" applyAlignment="1">
      <alignment vertical="center"/>
    </xf>
    <xf numFmtId="164" fontId="6" fillId="0" borderId="14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6" fillId="0" borderId="13" xfId="0" applyFont="1" applyBorder="1" applyAlignment="1">
      <alignment vertical="center"/>
    </xf>
    <xf numFmtId="0" fontId="6" fillId="0" borderId="13" xfId="0" applyFont="1" applyBorder="1" applyAlignment="1">
      <alignment vertical="center" wrapText="1"/>
    </xf>
    <xf numFmtId="166" fontId="7" fillId="2" borderId="0" xfId="0" applyNumberFormat="1" applyFont="1" applyFill="1" applyAlignment="1">
      <alignment vertical="center"/>
    </xf>
    <xf numFmtId="0" fontId="0" fillId="5" borderId="0" xfId="0" applyFill="1" applyAlignment="1">
      <alignment vertical="center"/>
    </xf>
    <xf numFmtId="0" fontId="0" fillId="0" borderId="0" xfId="0" applyAlignment="1">
      <alignment vertical="center"/>
    </xf>
    <xf numFmtId="167" fontId="7" fillId="3" borderId="0" xfId="0" applyNumberFormat="1" applyFont="1" applyFill="1" applyAlignment="1">
      <alignment horizontal="right" vertical="center"/>
    </xf>
    <xf numFmtId="166" fontId="4" fillId="5" borderId="0" xfId="0" applyNumberFormat="1" applyFont="1" applyFill="1"/>
    <xf numFmtId="0" fontId="0" fillId="5" borderId="0" xfId="0" applyFill="1" applyAlignment="1">
      <alignment horizontal="right"/>
    </xf>
    <xf numFmtId="0" fontId="14" fillId="5" borderId="0" xfId="0" applyFont="1" applyFill="1" applyAlignment="1">
      <alignment horizontal="right"/>
    </xf>
    <xf numFmtId="0" fontId="6" fillId="0" borderId="4" xfId="0" applyFont="1" applyBorder="1"/>
    <xf numFmtId="164" fontId="6" fillId="0" borderId="49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15" fillId="0" borderId="7" xfId="0" applyFont="1" applyBorder="1" applyAlignment="1">
      <alignment vertical="center" wrapText="1"/>
    </xf>
    <xf numFmtId="0" fontId="15" fillId="0" borderId="13" xfId="0" applyFont="1" applyBorder="1" applyAlignment="1">
      <alignment vertical="center" wrapText="1"/>
    </xf>
    <xf numFmtId="0" fontId="0" fillId="6" borderId="46" xfId="0" applyFill="1" applyBorder="1"/>
    <xf numFmtId="0" fontId="5" fillId="6" borderId="52" xfId="0" applyFont="1" applyFill="1" applyBorder="1" applyAlignment="1">
      <alignment horizontal="left" vertical="center" wrapText="1"/>
    </xf>
    <xf numFmtId="0" fontId="5" fillId="6" borderId="47" xfId="0" applyFont="1" applyFill="1" applyBorder="1" applyAlignment="1">
      <alignment horizontal="left" vertical="center" wrapText="1"/>
    </xf>
    <xf numFmtId="166" fontId="5" fillId="6" borderId="47" xfId="2" applyNumberFormat="1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166" fontId="5" fillId="4" borderId="14" xfId="2" applyNumberFormat="1" applyFont="1" applyFill="1" applyBorder="1" applyAlignment="1">
      <alignment horizontal="center" vertical="center"/>
    </xf>
    <xf numFmtId="166" fontId="5" fillId="4" borderId="10" xfId="0" applyNumberFormat="1" applyFont="1" applyFill="1" applyBorder="1" applyAlignment="1">
      <alignment horizontal="center" vertical="center"/>
    </xf>
    <xf numFmtId="166" fontId="5" fillId="4" borderId="14" xfId="0" applyNumberFormat="1" applyFont="1" applyFill="1" applyBorder="1" applyAlignment="1">
      <alignment horizontal="center" vertical="center"/>
    </xf>
    <xf numFmtId="0" fontId="21" fillId="5" borderId="0" xfId="0" applyFont="1" applyFill="1"/>
    <xf numFmtId="1" fontId="6" fillId="0" borderId="13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0" fontId="5" fillId="0" borderId="16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5" fillId="4" borderId="27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24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center"/>
    </xf>
    <xf numFmtId="0" fontId="7" fillId="3" borderId="19" xfId="0" applyFont="1" applyFill="1" applyBorder="1" applyAlignment="1">
      <alignment horizontal="right" vertical="center"/>
    </xf>
    <xf numFmtId="0" fontId="12" fillId="4" borderId="23" xfId="0" applyFont="1" applyFill="1" applyBorder="1" applyAlignment="1">
      <alignment horizontal="left" vertical="top" wrapText="1"/>
    </xf>
    <xf numFmtId="0" fontId="12" fillId="4" borderId="7" xfId="0" applyFont="1" applyFill="1" applyBorder="1" applyAlignment="1">
      <alignment horizontal="left" vertical="top" wrapText="1"/>
    </xf>
    <xf numFmtId="0" fontId="12" fillId="4" borderId="8" xfId="0" applyFont="1" applyFill="1" applyBorder="1" applyAlignment="1">
      <alignment horizontal="left" vertical="top" wrapText="1"/>
    </xf>
    <xf numFmtId="0" fontId="7" fillId="2" borderId="19" xfId="0" applyFont="1" applyFill="1" applyBorder="1" applyAlignment="1">
      <alignment horizontal="right" vertical="center"/>
    </xf>
    <xf numFmtId="0" fontId="12" fillId="4" borderId="29" xfId="0" applyFont="1" applyFill="1" applyBorder="1" applyAlignment="1">
      <alignment horizontal="left" vertical="top" wrapText="1"/>
    </xf>
    <xf numFmtId="0" fontId="12" fillId="4" borderId="50" xfId="0" applyFont="1" applyFill="1" applyBorder="1" applyAlignment="1">
      <alignment horizontal="left" vertical="top" wrapText="1"/>
    </xf>
    <xf numFmtId="0" fontId="12" fillId="4" borderId="51" xfId="0" applyFont="1" applyFill="1" applyBorder="1" applyAlignment="1">
      <alignment horizontal="left" vertical="top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40" xfId="0" applyFont="1" applyBorder="1" applyAlignment="1">
      <alignment horizontal="left" vertical="center" wrapText="1"/>
    </xf>
    <xf numFmtId="0" fontId="5" fillId="0" borderId="44" xfId="0" applyFont="1" applyBorder="1" applyAlignment="1">
      <alignment horizontal="left" vertical="center" wrapText="1"/>
    </xf>
    <xf numFmtId="0" fontId="5" fillId="0" borderId="42" xfId="0" applyFont="1" applyBorder="1" applyAlignment="1">
      <alignment horizontal="left" vertical="center" wrapText="1"/>
    </xf>
    <xf numFmtId="0" fontId="7" fillId="3" borderId="19" xfId="0" applyFont="1" applyFill="1" applyBorder="1" applyAlignment="1">
      <alignment horizontal="right"/>
    </xf>
    <xf numFmtId="0" fontId="7" fillId="2" borderId="19" xfId="0" applyFont="1" applyFill="1" applyBorder="1" applyAlignment="1">
      <alignment horizontal="right"/>
    </xf>
    <xf numFmtId="0" fontId="5" fillId="0" borderId="24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77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800B8-A735-A442-ABD0-FBEF8A9B5D62}">
  <sheetPr>
    <tabColor theme="9"/>
  </sheetPr>
  <dimension ref="A1:BE270"/>
  <sheetViews>
    <sheetView tabSelected="1" zoomScale="87" zoomScaleNormal="55" workbookViewId="0">
      <selection activeCell="J2" sqref="J2"/>
    </sheetView>
  </sheetViews>
  <sheetFormatPr baseColWidth="10" defaultColWidth="10.6640625" defaultRowHeight="16" x14ac:dyDescent="0.2"/>
  <cols>
    <col min="1" max="1" width="23.1640625" customWidth="1"/>
    <col min="2" max="2" width="25.6640625" customWidth="1"/>
    <col min="3" max="3" width="22.33203125" customWidth="1"/>
    <col min="4" max="4" width="30.1640625" customWidth="1"/>
    <col min="5" max="5" width="16" customWidth="1"/>
    <col min="6" max="6" width="13.83203125" customWidth="1"/>
    <col min="7" max="7" width="18" customWidth="1"/>
    <col min="8" max="8" width="17" customWidth="1"/>
    <col min="9" max="57" width="10.6640625" style="37"/>
  </cols>
  <sheetData>
    <row r="1" spans="1:8" s="37" customFormat="1" ht="29" customHeight="1" x14ac:dyDescent="0.35">
      <c r="A1" s="114" t="s">
        <v>208</v>
      </c>
      <c r="B1" s="67"/>
      <c r="H1" s="37" t="s">
        <v>213</v>
      </c>
    </row>
    <row r="2" spans="1:8" s="37" customFormat="1" ht="29" customHeight="1" x14ac:dyDescent="0.35">
      <c r="A2" s="68" t="s">
        <v>148</v>
      </c>
      <c r="B2" s="67"/>
    </row>
    <row r="3" spans="1:8" s="37" customFormat="1" ht="29" customHeight="1" thickBot="1" x14ac:dyDescent="0.4">
      <c r="A3" s="66"/>
      <c r="B3" s="67"/>
    </row>
    <row r="4" spans="1:8" s="37" customFormat="1" ht="39" customHeight="1" thickBot="1" x14ac:dyDescent="0.25">
      <c r="A4" s="72" t="s">
        <v>120</v>
      </c>
      <c r="B4" s="73"/>
      <c r="C4" s="73"/>
      <c r="D4" s="73"/>
      <c r="E4" s="73"/>
      <c r="F4" s="73"/>
      <c r="G4" s="73"/>
      <c r="H4" s="74"/>
    </row>
    <row r="5" spans="1:8" s="37" customFormat="1" ht="42" customHeight="1" x14ac:dyDescent="0.2">
      <c r="A5" s="162" t="s">
        <v>209</v>
      </c>
      <c r="B5" s="163"/>
      <c r="C5" s="164"/>
      <c r="D5" s="75"/>
      <c r="E5" s="158" t="s">
        <v>212</v>
      </c>
      <c r="F5" s="159"/>
      <c r="G5" s="159"/>
      <c r="H5" s="160"/>
    </row>
    <row r="6" spans="1:8" s="37" customFormat="1" ht="36" customHeight="1" x14ac:dyDescent="0.2">
      <c r="A6" s="143" t="s">
        <v>122</v>
      </c>
      <c r="B6" s="144"/>
      <c r="C6" s="109">
        <v>330</v>
      </c>
      <c r="D6" s="75"/>
      <c r="E6" s="143" t="s">
        <v>121</v>
      </c>
      <c r="F6" s="144"/>
      <c r="G6" s="144"/>
      <c r="H6" s="112">
        <v>500</v>
      </c>
    </row>
    <row r="7" spans="1:8" s="37" customFormat="1" ht="36" customHeight="1" x14ac:dyDescent="0.2">
      <c r="A7" s="143" t="s">
        <v>123</v>
      </c>
      <c r="B7" s="144"/>
      <c r="C7" s="109">
        <f>160+129+169+200</f>
        <v>658</v>
      </c>
      <c r="D7" s="75"/>
      <c r="E7" s="143" t="s">
        <v>127</v>
      </c>
      <c r="F7" s="144"/>
      <c r="G7" s="144"/>
      <c r="H7" s="112">
        <v>300</v>
      </c>
    </row>
    <row r="8" spans="1:8" s="37" customFormat="1" ht="36" customHeight="1" thickBot="1" x14ac:dyDescent="0.25">
      <c r="A8" s="145" t="s">
        <v>210</v>
      </c>
      <c r="B8" s="146"/>
      <c r="C8" s="110">
        <v>300</v>
      </c>
      <c r="D8" s="75"/>
      <c r="E8" s="143" t="s">
        <v>128</v>
      </c>
      <c r="F8" s="144"/>
      <c r="G8" s="144"/>
      <c r="H8" s="112">
        <v>600</v>
      </c>
    </row>
    <row r="9" spans="1:8" s="37" customFormat="1" ht="33" customHeight="1" thickBot="1" x14ac:dyDescent="0.25">
      <c r="A9" s="76"/>
      <c r="B9" s="77"/>
      <c r="C9" s="77"/>
      <c r="D9" s="75"/>
      <c r="E9" s="143" t="s">
        <v>129</v>
      </c>
      <c r="F9" s="144"/>
      <c r="G9" s="144"/>
      <c r="H9" s="112">
        <v>700</v>
      </c>
    </row>
    <row r="10" spans="1:8" s="37" customFormat="1" ht="42" customHeight="1" x14ac:dyDescent="0.2">
      <c r="A10" s="162" t="s">
        <v>211</v>
      </c>
      <c r="B10" s="163"/>
      <c r="C10" s="164"/>
      <c r="D10" s="75"/>
      <c r="E10" s="143" t="s">
        <v>130</v>
      </c>
      <c r="F10" s="144"/>
      <c r="G10" s="144"/>
      <c r="H10" s="112">
        <v>1200</v>
      </c>
    </row>
    <row r="11" spans="1:8" s="37" customFormat="1" ht="36" customHeight="1" x14ac:dyDescent="0.2">
      <c r="A11" s="143" t="s">
        <v>124</v>
      </c>
      <c r="B11" s="144"/>
      <c r="C11" s="109">
        <v>3280</v>
      </c>
      <c r="D11" s="75"/>
      <c r="E11" s="143" t="s">
        <v>131</v>
      </c>
      <c r="F11" s="144"/>
      <c r="G11" s="144"/>
      <c r="H11" s="112">
        <f>50/(500/1000)</f>
        <v>100</v>
      </c>
    </row>
    <row r="12" spans="1:8" s="37" customFormat="1" ht="36" customHeight="1" thickBot="1" x14ac:dyDescent="0.25">
      <c r="A12" s="143" t="s">
        <v>125</v>
      </c>
      <c r="B12" s="144"/>
      <c r="C12" s="109">
        <v>20</v>
      </c>
      <c r="D12" s="75"/>
      <c r="E12" s="145" t="s">
        <v>132</v>
      </c>
      <c r="F12" s="146"/>
      <c r="G12" s="146"/>
      <c r="H12" s="113">
        <f>30/(300/1000)</f>
        <v>100</v>
      </c>
    </row>
    <row r="13" spans="1:8" s="37" customFormat="1" ht="36" customHeight="1" thickBot="1" x14ac:dyDescent="0.25">
      <c r="A13" s="145" t="s">
        <v>126</v>
      </c>
      <c r="B13" s="146"/>
      <c r="C13" s="111">
        <v>400</v>
      </c>
      <c r="D13" s="75"/>
      <c r="E13" s="75"/>
      <c r="F13" s="75"/>
      <c r="G13" s="75"/>
      <c r="H13" s="105"/>
    </row>
    <row r="14" spans="1:8" s="37" customFormat="1" ht="18" customHeight="1" thickBot="1" x14ac:dyDescent="0.25">
      <c r="A14" s="106"/>
      <c r="B14" s="107"/>
      <c r="C14" s="108"/>
      <c r="D14" s="78"/>
      <c r="E14" s="78"/>
      <c r="F14" s="78"/>
      <c r="G14" s="78"/>
      <c r="H14" s="79"/>
    </row>
    <row r="15" spans="1:8" s="37" customFormat="1" ht="29" customHeight="1" x14ac:dyDescent="0.2">
      <c r="A15" s="69"/>
      <c r="B15" s="69"/>
      <c r="C15" s="70"/>
      <c r="D15" s="70"/>
    </row>
    <row r="16" spans="1:8" s="37" customFormat="1" ht="27" thickBot="1" x14ac:dyDescent="0.35">
      <c r="A16" s="40" t="s">
        <v>133</v>
      </c>
      <c r="C16" s="41"/>
      <c r="D16" s="41"/>
    </row>
    <row r="17" spans="1:8" ht="58" customHeight="1" thickBot="1" x14ac:dyDescent="0.25">
      <c r="A17" s="20" t="s">
        <v>214</v>
      </c>
      <c r="B17" s="21" t="s">
        <v>135</v>
      </c>
      <c r="C17" s="127" t="s">
        <v>134</v>
      </c>
      <c r="D17" s="128"/>
      <c r="E17" s="21" t="s">
        <v>136</v>
      </c>
      <c r="F17" s="21" t="s">
        <v>137</v>
      </c>
      <c r="G17" s="60" t="s">
        <v>138</v>
      </c>
      <c r="H17" s="22" t="s">
        <v>139</v>
      </c>
    </row>
    <row r="18" spans="1:8" ht="31" customHeight="1" x14ac:dyDescent="0.2">
      <c r="A18" s="121" t="s">
        <v>140</v>
      </c>
      <c r="B18" s="134" t="s">
        <v>142</v>
      </c>
      <c r="C18" s="131" t="s">
        <v>149</v>
      </c>
      <c r="D18" s="132"/>
      <c r="E18" s="6">
        <v>100000000</v>
      </c>
      <c r="F18" s="7">
        <v>1</v>
      </c>
      <c r="G18" s="7">
        <v>30</v>
      </c>
      <c r="H18" s="8">
        <f>E18*F18/G18</f>
        <v>3333333.3333333335</v>
      </c>
    </row>
    <row r="19" spans="1:8" ht="31" customHeight="1" x14ac:dyDescent="0.2">
      <c r="A19" s="133"/>
      <c r="B19" s="135"/>
      <c r="C19" s="129" t="s">
        <v>150</v>
      </c>
      <c r="D19" s="130"/>
      <c r="E19" s="2">
        <v>50000000</v>
      </c>
      <c r="F19" s="3">
        <v>1</v>
      </c>
      <c r="G19" s="3">
        <v>10</v>
      </c>
      <c r="H19" s="9">
        <f t="shared" ref="H19:H26" si="0">E19*F19/G19</f>
        <v>5000000</v>
      </c>
    </row>
    <row r="20" spans="1:8" ht="31" customHeight="1" x14ac:dyDescent="0.2">
      <c r="A20" s="133"/>
      <c r="B20" s="136" t="s">
        <v>143</v>
      </c>
      <c r="C20" s="129" t="s">
        <v>151</v>
      </c>
      <c r="D20" s="130"/>
      <c r="E20" s="2">
        <v>40000000</v>
      </c>
      <c r="F20" s="4">
        <f>ROUNDUP(C6/200,0)</f>
        <v>2</v>
      </c>
      <c r="G20" s="3">
        <v>10</v>
      </c>
      <c r="H20" s="9">
        <f t="shared" si="0"/>
        <v>8000000</v>
      </c>
    </row>
    <row r="21" spans="1:8" ht="31" customHeight="1" x14ac:dyDescent="0.2">
      <c r="A21" s="133"/>
      <c r="B21" s="137"/>
      <c r="C21" s="129" t="s">
        <v>152</v>
      </c>
      <c r="D21" s="130"/>
      <c r="E21" s="2">
        <v>30000000</v>
      </c>
      <c r="F21" s="3">
        <f>F19</f>
        <v>1</v>
      </c>
      <c r="G21" s="3">
        <v>10</v>
      </c>
      <c r="H21" s="9">
        <f t="shared" si="0"/>
        <v>3000000</v>
      </c>
    </row>
    <row r="22" spans="1:8" ht="31" customHeight="1" x14ac:dyDescent="0.2">
      <c r="A22" s="133"/>
      <c r="B22" s="137"/>
      <c r="C22" s="129" t="s">
        <v>153</v>
      </c>
      <c r="D22" s="130"/>
      <c r="E22" s="2">
        <v>6000000</v>
      </c>
      <c r="F22" s="4">
        <v>1</v>
      </c>
      <c r="G22" s="3">
        <v>10</v>
      </c>
      <c r="H22" s="9">
        <f t="shared" si="0"/>
        <v>600000</v>
      </c>
    </row>
    <row r="23" spans="1:8" ht="31" customHeight="1" x14ac:dyDescent="0.2">
      <c r="A23" s="133"/>
      <c r="B23" s="137"/>
      <c r="C23" s="129" t="s">
        <v>154</v>
      </c>
      <c r="D23" s="130"/>
      <c r="E23" s="2">
        <v>6000000</v>
      </c>
      <c r="F23" s="4">
        <v>1</v>
      </c>
      <c r="G23" s="3">
        <v>10</v>
      </c>
      <c r="H23" s="9">
        <f t="shared" si="0"/>
        <v>600000</v>
      </c>
    </row>
    <row r="24" spans="1:8" ht="31" customHeight="1" x14ac:dyDescent="0.2">
      <c r="A24" s="133"/>
      <c r="B24" s="137"/>
      <c r="C24" s="129" t="s">
        <v>155</v>
      </c>
      <c r="D24" s="130"/>
      <c r="E24" s="2">
        <v>3000000</v>
      </c>
      <c r="F24" s="4">
        <v>1</v>
      </c>
      <c r="G24" s="3">
        <v>5</v>
      </c>
      <c r="H24" s="9">
        <f t="shared" si="0"/>
        <v>600000</v>
      </c>
    </row>
    <row r="25" spans="1:8" ht="31" customHeight="1" x14ac:dyDescent="0.2">
      <c r="A25" s="133"/>
      <c r="B25" s="137"/>
      <c r="C25" s="129" t="s">
        <v>156</v>
      </c>
      <c r="D25" s="130"/>
      <c r="E25" s="2">
        <v>300000</v>
      </c>
      <c r="F25" s="19">
        <f>C6</f>
        <v>330</v>
      </c>
      <c r="G25" s="3">
        <v>20</v>
      </c>
      <c r="H25" s="9">
        <f t="shared" si="0"/>
        <v>4950000</v>
      </c>
    </row>
    <row r="26" spans="1:8" ht="31" customHeight="1" thickBot="1" x14ac:dyDescent="0.25">
      <c r="A26" s="122"/>
      <c r="B26" s="138"/>
      <c r="C26" s="141" t="s">
        <v>157</v>
      </c>
      <c r="D26" s="142"/>
      <c r="E26" s="11">
        <v>300000</v>
      </c>
      <c r="F26" s="12">
        <f>ROUND(C6/15,0)</f>
        <v>22</v>
      </c>
      <c r="G26" s="13">
        <v>20</v>
      </c>
      <c r="H26" s="14">
        <f t="shared" si="0"/>
        <v>330000</v>
      </c>
    </row>
    <row r="27" spans="1:8" ht="31" customHeight="1" x14ac:dyDescent="0.2">
      <c r="A27" s="121" t="s">
        <v>141</v>
      </c>
      <c r="B27" s="134" t="s">
        <v>144</v>
      </c>
      <c r="C27" s="131" t="s">
        <v>158</v>
      </c>
      <c r="D27" s="132"/>
      <c r="E27" s="6">
        <v>1000000</v>
      </c>
      <c r="F27" s="7">
        <f>F18</f>
        <v>1</v>
      </c>
      <c r="G27" s="7" t="s">
        <v>34</v>
      </c>
      <c r="H27" s="8">
        <f>E27*F27</f>
        <v>1000000</v>
      </c>
    </row>
    <row r="28" spans="1:8" ht="31" customHeight="1" x14ac:dyDescent="0.2">
      <c r="A28" s="133"/>
      <c r="B28" s="137"/>
      <c r="C28" s="129" t="s">
        <v>159</v>
      </c>
      <c r="D28" s="130"/>
      <c r="E28" s="2">
        <v>1000000</v>
      </c>
      <c r="F28" s="3">
        <f>F19</f>
        <v>1</v>
      </c>
      <c r="G28" s="3" t="s">
        <v>34</v>
      </c>
      <c r="H28" s="9">
        <f t="shared" ref="H28:H37" si="1">E28*F28</f>
        <v>1000000</v>
      </c>
    </row>
    <row r="29" spans="1:8" ht="31" customHeight="1" x14ac:dyDescent="0.2">
      <c r="A29" s="133"/>
      <c r="B29" s="137"/>
      <c r="C29" s="129" t="s">
        <v>160</v>
      </c>
      <c r="D29" s="130"/>
      <c r="E29" s="2">
        <v>1000000</v>
      </c>
      <c r="F29" s="4">
        <f>F20</f>
        <v>2</v>
      </c>
      <c r="G29" s="3" t="s">
        <v>34</v>
      </c>
      <c r="H29" s="9">
        <f t="shared" si="1"/>
        <v>2000000</v>
      </c>
    </row>
    <row r="30" spans="1:8" ht="31" customHeight="1" x14ac:dyDescent="0.2">
      <c r="A30" s="133"/>
      <c r="B30" s="137"/>
      <c r="C30" s="129" t="s">
        <v>161</v>
      </c>
      <c r="D30" s="130"/>
      <c r="E30" s="2">
        <v>1000000</v>
      </c>
      <c r="F30" s="4">
        <f>F21</f>
        <v>1</v>
      </c>
      <c r="G30" s="3" t="s">
        <v>34</v>
      </c>
      <c r="H30" s="9">
        <f t="shared" si="1"/>
        <v>1000000</v>
      </c>
    </row>
    <row r="31" spans="1:8" ht="31" customHeight="1" x14ac:dyDescent="0.2">
      <c r="A31" s="133"/>
      <c r="B31" s="135"/>
      <c r="C31" s="129" t="s">
        <v>162</v>
      </c>
      <c r="D31" s="130"/>
      <c r="E31" s="2">
        <v>300000</v>
      </c>
      <c r="F31" s="4">
        <f>F22+F23</f>
        <v>2</v>
      </c>
      <c r="G31" s="3" t="s">
        <v>34</v>
      </c>
      <c r="H31" s="9">
        <f t="shared" si="1"/>
        <v>600000</v>
      </c>
    </row>
    <row r="32" spans="1:8" ht="31" customHeight="1" x14ac:dyDescent="0.2">
      <c r="A32" s="133"/>
      <c r="B32" s="80" t="s">
        <v>145</v>
      </c>
      <c r="C32" s="129" t="s">
        <v>163</v>
      </c>
      <c r="D32" s="130"/>
      <c r="E32" s="2">
        <f>1000000*12</f>
        <v>12000000</v>
      </c>
      <c r="F32" s="19">
        <f>ROUNDUP(C6/130,0)</f>
        <v>3</v>
      </c>
      <c r="G32" s="3" t="s">
        <v>34</v>
      </c>
      <c r="H32" s="9">
        <f t="shared" si="1"/>
        <v>36000000</v>
      </c>
    </row>
    <row r="33" spans="1:57" ht="31" customHeight="1" x14ac:dyDescent="0.2">
      <c r="A33" s="133"/>
      <c r="B33" s="81" t="s">
        <v>146</v>
      </c>
      <c r="C33" s="129" t="s">
        <v>164</v>
      </c>
      <c r="D33" s="130"/>
      <c r="E33" s="2">
        <v>300000</v>
      </c>
      <c r="F33" s="4">
        <v>12</v>
      </c>
      <c r="G33" s="3" t="s">
        <v>34</v>
      </c>
      <c r="H33" s="9">
        <f t="shared" si="1"/>
        <v>3600000</v>
      </c>
    </row>
    <row r="34" spans="1:57" ht="31" customHeight="1" x14ac:dyDescent="0.2">
      <c r="A34" s="133"/>
      <c r="B34" s="136" t="s">
        <v>147</v>
      </c>
      <c r="C34" s="129" t="s">
        <v>165</v>
      </c>
      <c r="D34" s="130"/>
      <c r="E34" s="2">
        <f>(C6/10)*4*C12/100*C11</f>
        <v>86592</v>
      </c>
      <c r="F34" s="4">
        <v>12</v>
      </c>
      <c r="G34" s="3" t="s">
        <v>34</v>
      </c>
      <c r="H34" s="9">
        <f t="shared" si="1"/>
        <v>1039104</v>
      </c>
    </row>
    <row r="35" spans="1:57" ht="31" customHeight="1" x14ac:dyDescent="0.2">
      <c r="A35" s="133"/>
      <c r="B35" s="137"/>
      <c r="C35" s="129" t="s">
        <v>166</v>
      </c>
      <c r="D35" s="130"/>
      <c r="E35" s="2">
        <f>4*C12/100*C11</f>
        <v>2624</v>
      </c>
      <c r="F35" s="17">
        <v>54</v>
      </c>
      <c r="G35" s="3" t="s">
        <v>34</v>
      </c>
      <c r="H35" s="9">
        <f t="shared" si="1"/>
        <v>141696</v>
      </c>
    </row>
    <row r="36" spans="1:57" ht="31" customHeight="1" x14ac:dyDescent="0.2">
      <c r="A36" s="133"/>
      <c r="B36" s="137"/>
      <c r="C36" s="129" t="s">
        <v>167</v>
      </c>
      <c r="D36" s="130"/>
      <c r="E36" s="16">
        <f>4*18*C11</f>
        <v>236160</v>
      </c>
      <c r="F36" s="17">
        <v>54</v>
      </c>
      <c r="G36" s="18" t="s">
        <v>34</v>
      </c>
      <c r="H36" s="9">
        <f t="shared" si="1"/>
        <v>12752640</v>
      </c>
    </row>
    <row r="37" spans="1:57" ht="31" customHeight="1" thickBot="1" x14ac:dyDescent="0.25">
      <c r="A37" s="122"/>
      <c r="B37" s="138"/>
      <c r="C37" s="141" t="s">
        <v>168</v>
      </c>
      <c r="D37" s="142"/>
      <c r="E37" s="11">
        <f>C8*C13</f>
        <v>120000</v>
      </c>
      <c r="F37" s="115">
        <f>SUM(F46:F52)/1000</f>
        <v>74.099999999999994</v>
      </c>
      <c r="G37" s="13" t="s">
        <v>34</v>
      </c>
      <c r="H37" s="14">
        <f t="shared" si="1"/>
        <v>8892000</v>
      </c>
    </row>
    <row r="38" spans="1:57" s="95" customFormat="1" ht="31" customHeight="1" x14ac:dyDescent="0.2">
      <c r="A38" s="161" t="s">
        <v>196</v>
      </c>
      <c r="B38" s="161"/>
      <c r="C38" s="161"/>
      <c r="D38" s="161"/>
      <c r="E38" s="161"/>
      <c r="F38" s="161"/>
      <c r="G38" s="161"/>
      <c r="H38" s="93">
        <f>SUM(H18:H37)</f>
        <v>94438773.333333343</v>
      </c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</row>
    <row r="39" spans="1:57" s="37" customFormat="1" ht="31" customHeight="1" x14ac:dyDescent="0.2"/>
    <row r="40" spans="1:57" s="37" customFormat="1" ht="27" customHeight="1" thickBot="1" x14ac:dyDescent="0.35">
      <c r="A40" s="40" t="s">
        <v>169</v>
      </c>
      <c r="C40" s="41"/>
      <c r="D40" s="41"/>
    </row>
    <row r="41" spans="1:57" ht="58" customHeight="1" thickBot="1" x14ac:dyDescent="0.25">
      <c r="A41" s="23" t="s">
        <v>170</v>
      </c>
      <c r="B41" s="24" t="s">
        <v>171</v>
      </c>
      <c r="C41" s="165" t="s">
        <v>172</v>
      </c>
      <c r="D41" s="166"/>
      <c r="E41" s="24" t="s">
        <v>173</v>
      </c>
      <c r="F41" s="24" t="s">
        <v>174</v>
      </c>
      <c r="G41" s="24" t="s">
        <v>34</v>
      </c>
      <c r="H41" s="25" t="s">
        <v>175</v>
      </c>
    </row>
    <row r="42" spans="1:57" ht="31" customHeight="1" x14ac:dyDescent="0.2">
      <c r="A42" s="155" t="s">
        <v>176</v>
      </c>
      <c r="B42" s="89" t="s">
        <v>179</v>
      </c>
      <c r="C42" s="131" t="s">
        <v>190</v>
      </c>
      <c r="D42" s="154"/>
      <c r="E42" s="6">
        <v>5000000</v>
      </c>
      <c r="F42" s="26">
        <v>1</v>
      </c>
      <c r="G42" s="26" t="s">
        <v>34</v>
      </c>
      <c r="H42" s="86">
        <f>E42*F42</f>
        <v>5000000</v>
      </c>
    </row>
    <row r="43" spans="1:57" ht="31" customHeight="1" thickBot="1" x14ac:dyDescent="0.25">
      <c r="A43" s="156"/>
      <c r="B43" s="90" t="s">
        <v>180</v>
      </c>
      <c r="C43" s="141" t="s">
        <v>191</v>
      </c>
      <c r="D43" s="153"/>
      <c r="E43" s="11">
        <v>5000000</v>
      </c>
      <c r="F43" s="12">
        <v>1</v>
      </c>
      <c r="G43" s="12" t="s">
        <v>34</v>
      </c>
      <c r="H43" s="87">
        <f t="shared" ref="H43:H52" si="2">E43*F43</f>
        <v>5000000</v>
      </c>
    </row>
    <row r="44" spans="1:57" ht="43" customHeight="1" x14ac:dyDescent="0.2">
      <c r="A44" s="121" t="s">
        <v>177</v>
      </c>
      <c r="B44" s="89" t="s">
        <v>181</v>
      </c>
      <c r="C44" s="131" t="s">
        <v>192</v>
      </c>
      <c r="D44" s="154"/>
      <c r="E44" s="6">
        <f>3000*12</f>
        <v>36000</v>
      </c>
      <c r="F44" s="26">
        <f>C6+C7</f>
        <v>988</v>
      </c>
      <c r="G44" s="26" t="s">
        <v>34</v>
      </c>
      <c r="H44" s="86">
        <f t="shared" si="2"/>
        <v>35568000</v>
      </c>
    </row>
    <row r="45" spans="1:57" ht="31" customHeight="1" thickBot="1" x14ac:dyDescent="0.25">
      <c r="A45" s="122"/>
      <c r="B45" s="92" t="s">
        <v>182</v>
      </c>
      <c r="C45" s="141" t="s">
        <v>193</v>
      </c>
      <c r="D45" s="153"/>
      <c r="E45" s="11">
        <f>10000*12</f>
        <v>120000</v>
      </c>
      <c r="F45" s="116">
        <f>(C6+C7)/19</f>
        <v>52</v>
      </c>
      <c r="G45" s="12" t="s">
        <v>34</v>
      </c>
      <c r="H45" s="87">
        <f t="shared" si="2"/>
        <v>6240000</v>
      </c>
    </row>
    <row r="46" spans="1:57" ht="31" customHeight="1" x14ac:dyDescent="0.2">
      <c r="A46" s="121" t="s">
        <v>178</v>
      </c>
      <c r="B46" s="71" t="s">
        <v>184</v>
      </c>
      <c r="C46" s="147" t="s">
        <v>194</v>
      </c>
      <c r="D46" s="148"/>
      <c r="E46" s="6">
        <f>H6</f>
        <v>500</v>
      </c>
      <c r="F46" s="117">
        <f>15*(C$6+C$7)</f>
        <v>14820</v>
      </c>
      <c r="G46" s="26" t="s">
        <v>34</v>
      </c>
      <c r="H46" s="86">
        <f t="shared" si="2"/>
        <v>7410000</v>
      </c>
      <c r="I46" s="82"/>
      <c r="J46" s="42"/>
    </row>
    <row r="47" spans="1:57" ht="31" customHeight="1" x14ac:dyDescent="0.2">
      <c r="A47" s="123"/>
      <c r="B47" s="71" t="s">
        <v>185</v>
      </c>
      <c r="C47" s="149"/>
      <c r="D47" s="150"/>
      <c r="E47" s="2">
        <f>H7</f>
        <v>300</v>
      </c>
      <c r="F47" s="118">
        <f>3*(C$6+C$7)</f>
        <v>2964</v>
      </c>
      <c r="G47" s="4" t="s">
        <v>34</v>
      </c>
      <c r="H47" s="88">
        <f t="shared" si="2"/>
        <v>889200</v>
      </c>
      <c r="I47" s="49"/>
      <c r="J47" s="42"/>
    </row>
    <row r="48" spans="1:57" ht="31" customHeight="1" x14ac:dyDescent="0.2">
      <c r="A48" s="123"/>
      <c r="B48" s="71" t="s">
        <v>183</v>
      </c>
      <c r="C48" s="149"/>
      <c r="D48" s="150"/>
      <c r="E48" s="2">
        <f t="shared" ref="E48:E51" si="3">H8</f>
        <v>600</v>
      </c>
      <c r="F48" s="118">
        <f>10*(C$6+C$7)</f>
        <v>9880</v>
      </c>
      <c r="G48" s="4" t="s">
        <v>34</v>
      </c>
      <c r="H48" s="88">
        <f>E48*F48</f>
        <v>5928000</v>
      </c>
      <c r="I48" s="46"/>
      <c r="J48" s="42"/>
    </row>
    <row r="49" spans="1:57" ht="31" customHeight="1" x14ac:dyDescent="0.2">
      <c r="A49" s="123"/>
      <c r="B49" s="71" t="s">
        <v>186</v>
      </c>
      <c r="C49" s="149"/>
      <c r="D49" s="150"/>
      <c r="E49" s="2">
        <f t="shared" si="3"/>
        <v>700</v>
      </c>
      <c r="F49" s="118">
        <f>2*(C$6+C$7)</f>
        <v>1976</v>
      </c>
      <c r="G49" s="4" t="s">
        <v>34</v>
      </c>
      <c r="H49" s="88">
        <f>E49*F49</f>
        <v>1383200</v>
      </c>
      <c r="I49" s="46"/>
      <c r="J49" s="42"/>
    </row>
    <row r="50" spans="1:57" ht="31" customHeight="1" x14ac:dyDescent="0.2">
      <c r="A50" s="123"/>
      <c r="B50" s="71" t="s">
        <v>187</v>
      </c>
      <c r="C50" s="149"/>
      <c r="D50" s="150"/>
      <c r="E50" s="2">
        <f t="shared" si="3"/>
        <v>1200</v>
      </c>
      <c r="F50" s="118">
        <f>2*(C$6+C$7)</f>
        <v>1976</v>
      </c>
      <c r="G50" s="4" t="s">
        <v>34</v>
      </c>
      <c r="H50" s="88">
        <f t="shared" si="2"/>
        <v>2371200</v>
      </c>
      <c r="I50" s="46"/>
      <c r="J50" s="42"/>
    </row>
    <row r="51" spans="1:57" ht="31" customHeight="1" x14ac:dyDescent="0.2">
      <c r="A51" s="123"/>
      <c r="B51" s="71" t="s">
        <v>188</v>
      </c>
      <c r="C51" s="149"/>
      <c r="D51" s="150"/>
      <c r="E51" s="2">
        <f t="shared" si="3"/>
        <v>100</v>
      </c>
      <c r="F51" s="118">
        <f>35*(C$6+C$7)</f>
        <v>34580</v>
      </c>
      <c r="G51" s="4" t="s">
        <v>34</v>
      </c>
      <c r="H51" s="88">
        <f t="shared" si="2"/>
        <v>3458000</v>
      </c>
      <c r="I51" s="50"/>
      <c r="J51" s="42"/>
    </row>
    <row r="52" spans="1:57" ht="31" customHeight="1" thickBot="1" x14ac:dyDescent="0.25">
      <c r="A52" s="124"/>
      <c r="B52" s="71" t="s">
        <v>189</v>
      </c>
      <c r="C52" s="151"/>
      <c r="D52" s="152"/>
      <c r="E52" s="11">
        <f>H12</f>
        <v>100</v>
      </c>
      <c r="F52" s="118">
        <f>8*(C$6+C$7)</f>
        <v>7904</v>
      </c>
      <c r="G52" s="27" t="s">
        <v>34</v>
      </c>
      <c r="H52" s="87">
        <f t="shared" si="2"/>
        <v>790400</v>
      </c>
      <c r="I52" s="49"/>
      <c r="J52" s="42"/>
    </row>
    <row r="53" spans="1:57" ht="46.5" customHeight="1" thickBot="1" x14ac:dyDescent="0.25">
      <c r="A53" s="125" t="s">
        <v>197</v>
      </c>
      <c r="B53" s="126"/>
      <c r="C53" s="139" t="s">
        <v>198</v>
      </c>
      <c r="D53" s="140"/>
      <c r="E53" s="28">
        <v>0</v>
      </c>
      <c r="F53" s="61">
        <v>0</v>
      </c>
      <c r="G53" s="29" t="s">
        <v>34</v>
      </c>
      <c r="H53" s="62">
        <f>E53*F53</f>
        <v>0</v>
      </c>
    </row>
    <row r="54" spans="1:57" ht="31" customHeight="1" x14ac:dyDescent="0.2">
      <c r="A54" s="157" t="s">
        <v>195</v>
      </c>
      <c r="B54" s="157"/>
      <c r="C54" s="157"/>
      <c r="D54" s="157"/>
      <c r="E54" s="157"/>
      <c r="F54" s="157"/>
      <c r="G54" s="157"/>
      <c r="H54" s="96">
        <f>SUM(H42:H53)</f>
        <v>74038000</v>
      </c>
      <c r="J54" s="42"/>
    </row>
    <row r="55" spans="1:57" s="37" customFormat="1" x14ac:dyDescent="0.2">
      <c r="J55" s="42"/>
    </row>
    <row r="56" spans="1:57" s="37" customFormat="1" ht="24" customHeight="1" x14ac:dyDescent="0.2"/>
    <row r="57" spans="1:57" s="37" customFormat="1" ht="26" x14ac:dyDescent="0.3">
      <c r="A57" s="98"/>
      <c r="C57" s="58" t="s">
        <v>199</v>
      </c>
      <c r="F57" s="84"/>
    </row>
    <row r="58" spans="1:57" s="55" customFormat="1" ht="21" x14ac:dyDescent="0.25">
      <c r="A58" s="99"/>
      <c r="B58" s="83"/>
      <c r="C58" s="59" t="s">
        <v>200</v>
      </c>
      <c r="D58" s="54">
        <f>-H38</f>
        <v>-94438773.333333343</v>
      </c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</row>
    <row r="59" spans="1:57" s="55" customFormat="1" ht="21" x14ac:dyDescent="0.25">
      <c r="A59" s="99"/>
      <c r="B59" s="83"/>
      <c r="C59" s="59" t="s">
        <v>201</v>
      </c>
      <c r="D59" s="56">
        <f>H54</f>
        <v>74038000</v>
      </c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</row>
    <row r="60" spans="1:57" s="55" customFormat="1" ht="21" x14ac:dyDescent="0.25">
      <c r="A60" s="99"/>
      <c r="B60" s="83"/>
      <c r="C60" s="59" t="s">
        <v>202</v>
      </c>
      <c r="D60" s="97">
        <f>D58+D59</f>
        <v>-20400773.333333343</v>
      </c>
      <c r="E60" s="85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</row>
    <row r="61" spans="1:57" s="37" customFormat="1" x14ac:dyDescent="0.2">
      <c r="C61" s="46"/>
      <c r="D61" s="46"/>
      <c r="E61" s="38"/>
    </row>
    <row r="62" spans="1:57" s="37" customFormat="1" x14ac:dyDescent="0.2"/>
    <row r="63" spans="1:57" s="37" customFormat="1" x14ac:dyDescent="0.2">
      <c r="D63" s="44"/>
    </row>
    <row r="64" spans="1:57" s="37" customFormat="1" x14ac:dyDescent="0.2"/>
    <row r="65" s="37" customFormat="1" x14ac:dyDescent="0.2"/>
    <row r="66" s="37" customFormat="1" x14ac:dyDescent="0.2"/>
    <row r="67" s="37" customFormat="1" x14ac:dyDescent="0.2"/>
    <row r="68" s="37" customFormat="1" x14ac:dyDescent="0.2"/>
    <row r="69" s="37" customFormat="1" x14ac:dyDescent="0.2"/>
    <row r="70" s="37" customFormat="1" x14ac:dyDescent="0.2"/>
    <row r="71" s="37" customFormat="1" x14ac:dyDescent="0.2"/>
    <row r="72" s="37" customFormat="1" x14ac:dyDescent="0.2"/>
    <row r="73" s="37" customFormat="1" x14ac:dyDescent="0.2"/>
    <row r="74" s="37" customFormat="1" x14ac:dyDescent="0.2"/>
    <row r="75" s="37" customFormat="1" x14ac:dyDescent="0.2"/>
    <row r="76" s="37" customFormat="1" x14ac:dyDescent="0.2"/>
    <row r="77" s="37" customFormat="1" x14ac:dyDescent="0.2"/>
    <row r="78" s="37" customFormat="1" x14ac:dyDescent="0.2"/>
    <row r="79" s="37" customFormat="1" x14ac:dyDescent="0.2"/>
    <row r="80" s="37" customFormat="1" x14ac:dyDescent="0.2"/>
    <row r="81" s="37" customFormat="1" x14ac:dyDescent="0.2"/>
    <row r="82" s="37" customFormat="1" x14ac:dyDescent="0.2"/>
    <row r="83" s="37" customFormat="1" x14ac:dyDescent="0.2"/>
    <row r="84" s="37" customFormat="1" x14ac:dyDescent="0.2"/>
    <row r="85" s="37" customFormat="1" x14ac:dyDescent="0.2"/>
    <row r="86" s="37" customFormat="1" x14ac:dyDescent="0.2"/>
    <row r="87" s="37" customFormat="1" x14ac:dyDescent="0.2"/>
    <row r="88" s="37" customFormat="1" x14ac:dyDescent="0.2"/>
    <row r="89" s="37" customFormat="1" x14ac:dyDescent="0.2"/>
    <row r="90" s="37" customFormat="1" x14ac:dyDescent="0.2"/>
    <row r="91" s="37" customFormat="1" x14ac:dyDescent="0.2"/>
    <row r="92" s="37" customFormat="1" x14ac:dyDescent="0.2"/>
    <row r="93" s="37" customFormat="1" x14ac:dyDescent="0.2"/>
    <row r="94" s="37" customFormat="1" x14ac:dyDescent="0.2"/>
    <row r="95" s="37" customFormat="1" x14ac:dyDescent="0.2"/>
    <row r="96" s="37" customFormat="1" x14ac:dyDescent="0.2"/>
    <row r="97" s="37" customFormat="1" x14ac:dyDescent="0.2"/>
    <row r="98" s="37" customFormat="1" x14ac:dyDescent="0.2"/>
    <row r="99" s="37" customFormat="1" x14ac:dyDescent="0.2"/>
    <row r="100" s="37" customFormat="1" x14ac:dyDescent="0.2"/>
    <row r="101" s="37" customFormat="1" x14ac:dyDescent="0.2"/>
    <row r="102" s="37" customFormat="1" x14ac:dyDescent="0.2"/>
    <row r="103" s="37" customFormat="1" x14ac:dyDescent="0.2"/>
    <row r="104" s="37" customFormat="1" x14ac:dyDescent="0.2"/>
    <row r="105" s="37" customFormat="1" x14ac:dyDescent="0.2"/>
    <row r="106" s="37" customFormat="1" x14ac:dyDescent="0.2"/>
    <row r="107" s="37" customFormat="1" x14ac:dyDescent="0.2"/>
    <row r="108" s="37" customFormat="1" x14ac:dyDescent="0.2"/>
    <row r="109" s="37" customFormat="1" x14ac:dyDescent="0.2"/>
    <row r="110" s="37" customFormat="1" x14ac:dyDescent="0.2"/>
    <row r="111" s="37" customFormat="1" x14ac:dyDescent="0.2"/>
    <row r="112" s="37" customFormat="1" x14ac:dyDescent="0.2"/>
    <row r="113" s="37" customFormat="1" x14ac:dyDescent="0.2"/>
    <row r="114" s="37" customFormat="1" x14ac:dyDescent="0.2"/>
    <row r="115" s="37" customFormat="1" x14ac:dyDescent="0.2"/>
    <row r="116" s="37" customFormat="1" x14ac:dyDescent="0.2"/>
    <row r="117" s="37" customFormat="1" x14ac:dyDescent="0.2"/>
    <row r="118" s="37" customFormat="1" x14ac:dyDescent="0.2"/>
    <row r="119" s="37" customFormat="1" x14ac:dyDescent="0.2"/>
    <row r="120" s="37" customFormat="1" x14ac:dyDescent="0.2"/>
    <row r="121" s="37" customFormat="1" x14ac:dyDescent="0.2"/>
    <row r="122" s="37" customFormat="1" x14ac:dyDescent="0.2"/>
    <row r="123" s="37" customFormat="1" x14ac:dyDescent="0.2"/>
    <row r="124" s="37" customFormat="1" x14ac:dyDescent="0.2"/>
    <row r="125" s="37" customFormat="1" x14ac:dyDescent="0.2"/>
    <row r="126" s="37" customFormat="1" x14ac:dyDescent="0.2"/>
    <row r="127" s="37" customFormat="1" x14ac:dyDescent="0.2"/>
    <row r="128" s="37" customFormat="1" x14ac:dyDescent="0.2"/>
    <row r="129" s="37" customFormat="1" x14ac:dyDescent="0.2"/>
    <row r="130" s="37" customFormat="1" x14ac:dyDescent="0.2"/>
    <row r="131" s="37" customFormat="1" x14ac:dyDescent="0.2"/>
    <row r="132" s="37" customFormat="1" x14ac:dyDescent="0.2"/>
    <row r="133" s="37" customFormat="1" x14ac:dyDescent="0.2"/>
    <row r="134" s="37" customFormat="1" x14ac:dyDescent="0.2"/>
    <row r="135" s="37" customFormat="1" x14ac:dyDescent="0.2"/>
    <row r="136" s="37" customFormat="1" x14ac:dyDescent="0.2"/>
    <row r="137" s="37" customFormat="1" x14ac:dyDescent="0.2"/>
    <row r="138" s="37" customFormat="1" x14ac:dyDescent="0.2"/>
    <row r="139" s="37" customFormat="1" x14ac:dyDescent="0.2"/>
    <row r="140" s="37" customFormat="1" x14ac:dyDescent="0.2"/>
    <row r="141" s="37" customFormat="1" x14ac:dyDescent="0.2"/>
    <row r="142" s="37" customFormat="1" x14ac:dyDescent="0.2"/>
    <row r="143" s="37" customFormat="1" x14ac:dyDescent="0.2"/>
    <row r="144" s="37" customFormat="1" x14ac:dyDescent="0.2"/>
    <row r="145" s="37" customFormat="1" x14ac:dyDescent="0.2"/>
    <row r="146" s="37" customFormat="1" x14ac:dyDescent="0.2"/>
    <row r="147" s="37" customFormat="1" x14ac:dyDescent="0.2"/>
    <row r="148" s="37" customFormat="1" x14ac:dyDescent="0.2"/>
    <row r="149" s="37" customFormat="1" x14ac:dyDescent="0.2"/>
    <row r="150" s="37" customFormat="1" x14ac:dyDescent="0.2"/>
    <row r="151" s="37" customFormat="1" x14ac:dyDescent="0.2"/>
    <row r="152" s="37" customFormat="1" x14ac:dyDescent="0.2"/>
    <row r="153" s="37" customFormat="1" x14ac:dyDescent="0.2"/>
    <row r="154" s="37" customFormat="1" x14ac:dyDescent="0.2"/>
    <row r="155" s="37" customFormat="1" x14ac:dyDescent="0.2"/>
    <row r="156" s="37" customFormat="1" x14ac:dyDescent="0.2"/>
    <row r="157" s="37" customFormat="1" x14ac:dyDescent="0.2"/>
    <row r="158" s="37" customFormat="1" x14ac:dyDescent="0.2"/>
    <row r="159" s="37" customFormat="1" x14ac:dyDescent="0.2"/>
    <row r="160" s="37" customFormat="1" x14ac:dyDescent="0.2"/>
    <row r="161" s="37" customFormat="1" x14ac:dyDescent="0.2"/>
    <row r="162" s="37" customFormat="1" x14ac:dyDescent="0.2"/>
    <row r="163" s="37" customFormat="1" x14ac:dyDescent="0.2"/>
    <row r="164" s="37" customFormat="1" x14ac:dyDescent="0.2"/>
    <row r="165" s="37" customFormat="1" x14ac:dyDescent="0.2"/>
    <row r="166" s="37" customFormat="1" x14ac:dyDescent="0.2"/>
    <row r="167" s="37" customFormat="1" x14ac:dyDescent="0.2"/>
    <row r="168" s="37" customFormat="1" x14ac:dyDescent="0.2"/>
    <row r="169" s="37" customFormat="1" x14ac:dyDescent="0.2"/>
    <row r="170" s="37" customFormat="1" x14ac:dyDescent="0.2"/>
    <row r="171" s="37" customFormat="1" x14ac:dyDescent="0.2"/>
    <row r="172" s="37" customFormat="1" x14ac:dyDescent="0.2"/>
    <row r="173" s="37" customFormat="1" x14ac:dyDescent="0.2"/>
    <row r="174" s="37" customFormat="1" x14ac:dyDescent="0.2"/>
    <row r="175" s="37" customFormat="1" x14ac:dyDescent="0.2"/>
    <row r="176" s="37" customFormat="1" x14ac:dyDescent="0.2"/>
    <row r="177" s="37" customFormat="1" x14ac:dyDescent="0.2"/>
    <row r="178" s="37" customFormat="1" x14ac:dyDescent="0.2"/>
    <row r="179" s="37" customFormat="1" x14ac:dyDescent="0.2"/>
    <row r="180" s="37" customFormat="1" x14ac:dyDescent="0.2"/>
    <row r="181" s="37" customFormat="1" x14ac:dyDescent="0.2"/>
    <row r="182" s="37" customFormat="1" x14ac:dyDescent="0.2"/>
    <row r="183" s="37" customFormat="1" x14ac:dyDescent="0.2"/>
    <row r="184" s="37" customFormat="1" x14ac:dyDescent="0.2"/>
    <row r="185" s="37" customFormat="1" x14ac:dyDescent="0.2"/>
    <row r="186" s="37" customFormat="1" x14ac:dyDescent="0.2"/>
    <row r="187" s="37" customFormat="1" x14ac:dyDescent="0.2"/>
    <row r="188" s="37" customFormat="1" x14ac:dyDescent="0.2"/>
    <row r="189" s="37" customFormat="1" x14ac:dyDescent="0.2"/>
    <row r="190" s="37" customFormat="1" x14ac:dyDescent="0.2"/>
    <row r="191" s="37" customFormat="1" x14ac:dyDescent="0.2"/>
    <row r="192" s="37" customFormat="1" x14ac:dyDescent="0.2"/>
    <row r="193" s="37" customFormat="1" x14ac:dyDescent="0.2"/>
    <row r="194" s="37" customFormat="1" x14ac:dyDescent="0.2"/>
    <row r="195" s="37" customFormat="1" x14ac:dyDescent="0.2"/>
    <row r="196" s="37" customFormat="1" x14ac:dyDescent="0.2"/>
    <row r="197" s="37" customFormat="1" x14ac:dyDescent="0.2"/>
    <row r="198" s="37" customFormat="1" x14ac:dyDescent="0.2"/>
    <row r="199" s="37" customFormat="1" x14ac:dyDescent="0.2"/>
    <row r="200" s="37" customFormat="1" x14ac:dyDescent="0.2"/>
    <row r="201" s="37" customFormat="1" x14ac:dyDescent="0.2"/>
    <row r="202" s="37" customFormat="1" x14ac:dyDescent="0.2"/>
    <row r="203" s="37" customFormat="1" x14ac:dyDescent="0.2"/>
    <row r="204" s="37" customFormat="1" x14ac:dyDescent="0.2"/>
    <row r="205" s="37" customFormat="1" x14ac:dyDescent="0.2"/>
    <row r="206" s="37" customFormat="1" x14ac:dyDescent="0.2"/>
    <row r="207" s="37" customFormat="1" x14ac:dyDescent="0.2"/>
    <row r="208" s="37" customFormat="1" x14ac:dyDescent="0.2"/>
    <row r="209" s="37" customFormat="1" x14ac:dyDescent="0.2"/>
    <row r="210" s="37" customFormat="1" x14ac:dyDescent="0.2"/>
    <row r="211" s="37" customFormat="1" x14ac:dyDescent="0.2"/>
    <row r="212" s="37" customFormat="1" x14ac:dyDescent="0.2"/>
    <row r="213" s="37" customFormat="1" x14ac:dyDescent="0.2"/>
    <row r="214" s="37" customFormat="1" x14ac:dyDescent="0.2"/>
    <row r="215" s="37" customFormat="1" x14ac:dyDescent="0.2"/>
    <row r="216" s="37" customFormat="1" x14ac:dyDescent="0.2"/>
    <row r="217" s="37" customFormat="1" x14ac:dyDescent="0.2"/>
    <row r="218" s="37" customFormat="1" x14ac:dyDescent="0.2"/>
    <row r="219" s="37" customFormat="1" x14ac:dyDescent="0.2"/>
    <row r="220" s="37" customFormat="1" x14ac:dyDescent="0.2"/>
    <row r="221" s="37" customFormat="1" x14ac:dyDescent="0.2"/>
    <row r="222" s="37" customFormat="1" x14ac:dyDescent="0.2"/>
    <row r="223" s="37" customFormat="1" x14ac:dyDescent="0.2"/>
    <row r="224" s="37" customFormat="1" x14ac:dyDescent="0.2"/>
    <row r="225" s="37" customFormat="1" x14ac:dyDescent="0.2"/>
    <row r="226" s="37" customFormat="1" x14ac:dyDescent="0.2"/>
    <row r="227" s="37" customFormat="1" x14ac:dyDescent="0.2"/>
    <row r="228" s="37" customFormat="1" x14ac:dyDescent="0.2"/>
    <row r="229" s="37" customFormat="1" x14ac:dyDescent="0.2"/>
    <row r="230" s="37" customFormat="1" x14ac:dyDescent="0.2"/>
    <row r="231" s="37" customFormat="1" x14ac:dyDescent="0.2"/>
    <row r="232" s="37" customFormat="1" x14ac:dyDescent="0.2"/>
    <row r="233" s="37" customFormat="1" x14ac:dyDescent="0.2"/>
    <row r="234" s="37" customFormat="1" x14ac:dyDescent="0.2"/>
    <row r="235" s="37" customFormat="1" x14ac:dyDescent="0.2"/>
    <row r="236" s="37" customFormat="1" x14ac:dyDescent="0.2"/>
    <row r="237" s="37" customFormat="1" x14ac:dyDescent="0.2"/>
    <row r="238" s="37" customFormat="1" x14ac:dyDescent="0.2"/>
    <row r="239" s="37" customFormat="1" x14ac:dyDescent="0.2"/>
    <row r="240" s="37" customFormat="1" x14ac:dyDescent="0.2"/>
    <row r="241" s="37" customFormat="1" x14ac:dyDescent="0.2"/>
    <row r="242" s="37" customFormat="1" x14ac:dyDescent="0.2"/>
    <row r="243" s="37" customFormat="1" x14ac:dyDescent="0.2"/>
    <row r="244" s="37" customFormat="1" x14ac:dyDescent="0.2"/>
    <row r="245" s="37" customFormat="1" x14ac:dyDescent="0.2"/>
    <row r="246" s="37" customFormat="1" x14ac:dyDescent="0.2"/>
    <row r="247" s="37" customFormat="1" x14ac:dyDescent="0.2"/>
    <row r="248" s="37" customFormat="1" x14ac:dyDescent="0.2"/>
    <row r="249" s="37" customFormat="1" x14ac:dyDescent="0.2"/>
    <row r="250" s="37" customFormat="1" x14ac:dyDescent="0.2"/>
    <row r="251" s="37" customFormat="1" x14ac:dyDescent="0.2"/>
    <row r="252" s="37" customFormat="1" x14ac:dyDescent="0.2"/>
    <row r="253" s="37" customFormat="1" x14ac:dyDescent="0.2"/>
    <row r="254" s="37" customFormat="1" x14ac:dyDescent="0.2"/>
    <row r="255" s="37" customFormat="1" x14ac:dyDescent="0.2"/>
    <row r="256" s="37" customFormat="1" x14ac:dyDescent="0.2"/>
    <row r="257" s="37" customFormat="1" x14ac:dyDescent="0.2"/>
    <row r="258" s="37" customFormat="1" x14ac:dyDescent="0.2"/>
    <row r="259" s="37" customFormat="1" x14ac:dyDescent="0.2"/>
    <row r="260" s="37" customFormat="1" x14ac:dyDescent="0.2"/>
    <row r="261" s="37" customFormat="1" x14ac:dyDescent="0.2"/>
    <row r="262" s="37" customFormat="1" x14ac:dyDescent="0.2"/>
    <row r="263" s="37" customFormat="1" x14ac:dyDescent="0.2"/>
    <row r="264" s="37" customFormat="1" x14ac:dyDescent="0.2"/>
    <row r="265" s="37" customFormat="1" x14ac:dyDescent="0.2"/>
    <row r="266" s="37" customFormat="1" x14ac:dyDescent="0.2"/>
    <row r="267" s="37" customFormat="1" x14ac:dyDescent="0.2"/>
    <row r="268" s="37" customFormat="1" x14ac:dyDescent="0.2"/>
    <row r="269" s="37" customFormat="1" x14ac:dyDescent="0.2"/>
    <row r="270" s="37" customFormat="1" x14ac:dyDescent="0.2"/>
  </sheetData>
  <mergeCells count="56">
    <mergeCell ref="A54:G54"/>
    <mergeCell ref="E6:G6"/>
    <mergeCell ref="E5:H5"/>
    <mergeCell ref="A38:G38"/>
    <mergeCell ref="A10:C10"/>
    <mergeCell ref="A5:C5"/>
    <mergeCell ref="E12:G12"/>
    <mergeCell ref="E11:G11"/>
    <mergeCell ref="E10:G10"/>
    <mergeCell ref="E9:G9"/>
    <mergeCell ref="E8:G8"/>
    <mergeCell ref="E7:G7"/>
    <mergeCell ref="C41:D41"/>
    <mergeCell ref="A7:B7"/>
    <mergeCell ref="A6:B6"/>
    <mergeCell ref="A8:B8"/>
    <mergeCell ref="A11:B11"/>
    <mergeCell ref="A13:B13"/>
    <mergeCell ref="A12:B12"/>
    <mergeCell ref="C46:D52"/>
    <mergeCell ref="C45:D45"/>
    <mergeCell ref="C44:D44"/>
    <mergeCell ref="C43:D43"/>
    <mergeCell ref="C42:D42"/>
    <mergeCell ref="C28:D28"/>
    <mergeCell ref="C27:D27"/>
    <mergeCell ref="C22:D22"/>
    <mergeCell ref="C23:D23"/>
    <mergeCell ref="C24:D24"/>
    <mergeCell ref="C25:D25"/>
    <mergeCell ref="C26:D26"/>
    <mergeCell ref="A42:A43"/>
    <mergeCell ref="C31:D31"/>
    <mergeCell ref="C30:D30"/>
    <mergeCell ref="C29:D29"/>
    <mergeCell ref="C37:D37"/>
    <mergeCell ref="C36:D36"/>
    <mergeCell ref="C35:D35"/>
    <mergeCell ref="C34:D34"/>
    <mergeCell ref="C33:D33"/>
    <mergeCell ref="A44:A45"/>
    <mergeCell ref="A46:A52"/>
    <mergeCell ref="A53:B53"/>
    <mergeCell ref="C17:D17"/>
    <mergeCell ref="C21:D21"/>
    <mergeCell ref="C20:D20"/>
    <mergeCell ref="C18:D18"/>
    <mergeCell ref="C19:D19"/>
    <mergeCell ref="A18:A26"/>
    <mergeCell ref="B18:B19"/>
    <mergeCell ref="B20:B26"/>
    <mergeCell ref="A27:A37"/>
    <mergeCell ref="B27:B31"/>
    <mergeCell ref="B34:B37"/>
    <mergeCell ref="C53:D53"/>
    <mergeCell ref="C32:D32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73FB-7A41-2747-90E5-1474152B40DC}">
  <sheetPr>
    <tabColor theme="4" tint="0.39997558519241921"/>
  </sheetPr>
  <dimension ref="A1:AR625"/>
  <sheetViews>
    <sheetView zoomScale="75" zoomScaleNormal="75" workbookViewId="0">
      <selection activeCell="I49" sqref="I49"/>
    </sheetView>
  </sheetViews>
  <sheetFormatPr baseColWidth="10" defaultColWidth="10.6640625" defaultRowHeight="16" x14ac:dyDescent="0.2"/>
  <cols>
    <col min="1" max="1" width="10.6640625" style="37"/>
    <col min="2" max="2" width="12.83203125" customWidth="1"/>
    <col min="3" max="3" width="23.83203125" customWidth="1"/>
    <col min="4" max="4" width="51.33203125" customWidth="1"/>
    <col min="5" max="5" width="18.6640625" customWidth="1"/>
    <col min="6" max="6" width="5.5" style="37" customWidth="1"/>
    <col min="7" max="7" width="12.83203125" customWidth="1"/>
    <col min="8" max="8" width="23.83203125" customWidth="1"/>
    <col min="9" max="9" width="52.6640625" customWidth="1"/>
    <col min="10" max="10" width="18.6640625" customWidth="1"/>
    <col min="11" max="11" width="5.5" style="37" customWidth="1"/>
    <col min="12" max="44" width="10.6640625" style="37"/>
  </cols>
  <sheetData>
    <row r="1" spans="2:10" s="37" customFormat="1" ht="39" customHeight="1" thickBot="1" x14ac:dyDescent="0.35">
      <c r="B1" s="40" t="s">
        <v>60</v>
      </c>
      <c r="D1" s="41"/>
      <c r="G1" s="40" t="s">
        <v>28</v>
      </c>
      <c r="I1" s="41"/>
    </row>
    <row r="2" spans="2:10" ht="33" customHeight="1" thickBot="1" x14ac:dyDescent="0.25">
      <c r="B2" s="65" t="s">
        <v>215</v>
      </c>
      <c r="C2" s="33" t="s">
        <v>61</v>
      </c>
      <c r="D2" s="33" t="s">
        <v>62</v>
      </c>
      <c r="E2" s="34" t="s">
        <v>63</v>
      </c>
      <c r="G2" s="32" t="s">
        <v>203</v>
      </c>
      <c r="H2" s="33" t="s">
        <v>1</v>
      </c>
      <c r="I2" s="33" t="s">
        <v>2</v>
      </c>
      <c r="J2" s="34" t="s">
        <v>3</v>
      </c>
    </row>
    <row r="3" spans="2:10" x14ac:dyDescent="0.2">
      <c r="B3" s="174" t="s">
        <v>64</v>
      </c>
      <c r="C3" s="176" t="s">
        <v>65</v>
      </c>
      <c r="D3" s="5" t="s">
        <v>66</v>
      </c>
      <c r="E3" s="8">
        <f>'Detailed budget'!H18</f>
        <v>3333333.3333333335</v>
      </c>
      <c r="G3" s="167" t="s">
        <v>0</v>
      </c>
      <c r="H3" s="170" t="s">
        <v>6</v>
      </c>
      <c r="I3" s="5" t="s">
        <v>56</v>
      </c>
      <c r="J3" s="8">
        <f>'Detailed budget'!H$18</f>
        <v>3333333.3333333335</v>
      </c>
    </row>
    <row r="4" spans="2:10" ht="17" thickBot="1" x14ac:dyDescent="0.25">
      <c r="B4" s="175"/>
      <c r="C4" s="177"/>
      <c r="D4" s="10" t="s">
        <v>67</v>
      </c>
      <c r="E4" s="14">
        <f>'Detailed budget'!H19</f>
        <v>5000000</v>
      </c>
      <c r="G4" s="168"/>
      <c r="H4" s="171"/>
      <c r="I4" s="10" t="s">
        <v>5</v>
      </c>
      <c r="J4" s="14">
        <f>'Detailed budget'!H19</f>
        <v>5000000</v>
      </c>
    </row>
    <row r="5" spans="2:10" x14ac:dyDescent="0.2">
      <c r="B5" s="133"/>
      <c r="C5" s="178" t="s">
        <v>68</v>
      </c>
      <c r="D5" s="5" t="s">
        <v>69</v>
      </c>
      <c r="E5" s="8">
        <f>'Detailed budget'!H20</f>
        <v>8000000</v>
      </c>
      <c r="G5" s="168"/>
      <c r="H5" s="170" t="s">
        <v>7</v>
      </c>
      <c r="I5" s="5" t="s">
        <v>4</v>
      </c>
      <c r="J5" s="8">
        <f>'Detailed budget'!H20</f>
        <v>8000000</v>
      </c>
    </row>
    <row r="6" spans="2:10" x14ac:dyDescent="0.2">
      <c r="B6" s="133"/>
      <c r="C6" s="178"/>
      <c r="D6" s="1" t="s">
        <v>70</v>
      </c>
      <c r="E6" s="9">
        <f>'Detailed budget'!H21</f>
        <v>3000000</v>
      </c>
      <c r="G6" s="168"/>
      <c r="H6" s="172"/>
      <c r="I6" s="1" t="s">
        <v>13</v>
      </c>
      <c r="J6" s="9">
        <f>'Detailed budget'!H21</f>
        <v>3000000</v>
      </c>
    </row>
    <row r="7" spans="2:10" x14ac:dyDescent="0.2">
      <c r="B7" s="133"/>
      <c r="C7" s="178"/>
      <c r="D7" s="1" t="s">
        <v>71</v>
      </c>
      <c r="E7" s="9">
        <f>'Detailed budget'!H22</f>
        <v>600000</v>
      </c>
      <c r="G7" s="168"/>
      <c r="H7" s="172"/>
      <c r="I7" s="1" t="s">
        <v>8</v>
      </c>
      <c r="J7" s="9">
        <f>'Detailed budget'!H22</f>
        <v>600000</v>
      </c>
    </row>
    <row r="8" spans="2:10" x14ac:dyDescent="0.2">
      <c r="B8" s="133"/>
      <c r="C8" s="178"/>
      <c r="D8" s="1" t="s">
        <v>72</v>
      </c>
      <c r="E8" s="9">
        <f>'Detailed budget'!H23</f>
        <v>600000</v>
      </c>
      <c r="G8" s="168"/>
      <c r="H8" s="172"/>
      <c r="I8" s="1" t="s">
        <v>9</v>
      </c>
      <c r="J8" s="9">
        <f>'Detailed budget'!H23</f>
        <v>600000</v>
      </c>
    </row>
    <row r="9" spans="2:10" x14ac:dyDescent="0.2">
      <c r="B9" s="133"/>
      <c r="C9" s="178"/>
      <c r="D9" s="1" t="s">
        <v>73</v>
      </c>
      <c r="E9" s="9">
        <f>'Detailed budget'!H24</f>
        <v>600000</v>
      </c>
      <c r="G9" s="168"/>
      <c r="H9" s="172"/>
      <c r="I9" s="1" t="s">
        <v>16</v>
      </c>
      <c r="J9" s="9">
        <f>'Detailed budget'!H24</f>
        <v>600000</v>
      </c>
    </row>
    <row r="10" spans="2:10" x14ac:dyDescent="0.2">
      <c r="B10" s="133"/>
      <c r="C10" s="178"/>
      <c r="D10" s="1" t="s">
        <v>74</v>
      </c>
      <c r="E10" s="9">
        <f>'Detailed budget'!H25</f>
        <v>4950000</v>
      </c>
      <c r="G10" s="168"/>
      <c r="H10" s="172"/>
      <c r="I10" s="1" t="s">
        <v>57</v>
      </c>
      <c r="J10" s="9">
        <f>'Detailed budget'!H25</f>
        <v>4950000</v>
      </c>
    </row>
    <row r="11" spans="2:10" ht="17" thickBot="1" x14ac:dyDescent="0.25">
      <c r="B11" s="122"/>
      <c r="C11" s="178"/>
      <c r="D11" s="10" t="s">
        <v>75</v>
      </c>
      <c r="E11" s="14">
        <f>'Detailed budget'!H26</f>
        <v>330000</v>
      </c>
      <c r="G11" s="169"/>
      <c r="H11" s="171"/>
      <c r="I11" s="10" t="s">
        <v>18</v>
      </c>
      <c r="J11" s="14">
        <f>'Detailed budget'!H26</f>
        <v>330000</v>
      </c>
    </row>
    <row r="12" spans="2:10" x14ac:dyDescent="0.2">
      <c r="B12" s="174" t="s">
        <v>76</v>
      </c>
      <c r="C12" s="176" t="s">
        <v>77</v>
      </c>
      <c r="D12" s="5" t="s">
        <v>78</v>
      </c>
      <c r="E12" s="8">
        <f>'Detailed budget'!H27</f>
        <v>1000000</v>
      </c>
      <c r="G12" s="173" t="s">
        <v>21</v>
      </c>
      <c r="H12" s="170" t="s">
        <v>17</v>
      </c>
      <c r="I12" s="5" t="s">
        <v>10</v>
      </c>
      <c r="J12" s="8">
        <f>'Detailed budget'!H27</f>
        <v>1000000</v>
      </c>
    </row>
    <row r="13" spans="2:10" x14ac:dyDescent="0.2">
      <c r="B13" s="175"/>
      <c r="C13" s="178"/>
      <c r="D13" s="1" t="s">
        <v>79</v>
      </c>
      <c r="E13" s="9">
        <f>'Detailed budget'!H28</f>
        <v>1000000</v>
      </c>
      <c r="G13" s="168"/>
      <c r="H13" s="172"/>
      <c r="I13" s="1" t="s">
        <v>11</v>
      </c>
      <c r="J13" s="9">
        <f>'Detailed budget'!H28</f>
        <v>1000000</v>
      </c>
    </row>
    <row r="14" spans="2:10" x14ac:dyDescent="0.2">
      <c r="B14" s="175"/>
      <c r="C14" s="178"/>
      <c r="D14" s="1" t="s">
        <v>80</v>
      </c>
      <c r="E14" s="9">
        <f>'Detailed budget'!H29</f>
        <v>2000000</v>
      </c>
      <c r="G14" s="168"/>
      <c r="H14" s="172"/>
      <c r="I14" s="1" t="s">
        <v>12</v>
      </c>
      <c r="J14" s="9">
        <f>'Detailed budget'!H29</f>
        <v>2000000</v>
      </c>
    </row>
    <row r="15" spans="2:10" x14ac:dyDescent="0.2">
      <c r="B15" s="175"/>
      <c r="C15" s="178"/>
      <c r="D15" s="1" t="s">
        <v>81</v>
      </c>
      <c r="E15" s="9">
        <f>'Detailed budget'!H30</f>
        <v>1000000</v>
      </c>
      <c r="G15" s="168"/>
      <c r="H15" s="172"/>
      <c r="I15" s="1" t="s">
        <v>14</v>
      </c>
      <c r="J15" s="9">
        <f>'Detailed budget'!H30</f>
        <v>1000000</v>
      </c>
    </row>
    <row r="16" spans="2:10" ht="17" thickBot="1" x14ac:dyDescent="0.25">
      <c r="B16" s="175"/>
      <c r="C16" s="177"/>
      <c r="D16" s="10" t="s">
        <v>82</v>
      </c>
      <c r="E16" s="14">
        <f>'Detailed budget'!H31</f>
        <v>600000</v>
      </c>
      <c r="G16" s="168"/>
      <c r="H16" s="171"/>
      <c r="I16" s="10" t="s">
        <v>15</v>
      </c>
      <c r="J16" s="14">
        <f>'Detailed budget'!H31</f>
        <v>600000</v>
      </c>
    </row>
    <row r="17" spans="2:11" ht="17" thickBot="1" x14ac:dyDescent="0.25">
      <c r="B17" s="175"/>
      <c r="C17" s="120" t="s">
        <v>83</v>
      </c>
      <c r="D17" s="100" t="s">
        <v>84</v>
      </c>
      <c r="E17" s="101">
        <f>'Detailed budget'!H32</f>
        <v>36000000</v>
      </c>
      <c r="G17" s="168"/>
      <c r="H17" s="119" t="s">
        <v>19</v>
      </c>
      <c r="I17" s="47" t="s">
        <v>20</v>
      </c>
      <c r="J17" s="48">
        <f>'Detailed budget'!H32</f>
        <v>36000000</v>
      </c>
    </row>
    <row r="18" spans="2:11" ht="17" thickBot="1" x14ac:dyDescent="0.25">
      <c r="B18" s="175"/>
      <c r="C18" s="120" t="s">
        <v>85</v>
      </c>
      <c r="D18" s="47" t="s">
        <v>86</v>
      </c>
      <c r="E18" s="48">
        <f>'Detailed budget'!H33</f>
        <v>3600000</v>
      </c>
      <c r="G18" s="168"/>
      <c r="H18" s="119" t="s">
        <v>22</v>
      </c>
      <c r="I18" s="47" t="s">
        <v>23</v>
      </c>
      <c r="J18" s="48">
        <f>'Detailed budget'!H33</f>
        <v>3600000</v>
      </c>
    </row>
    <row r="19" spans="2:11" x14ac:dyDescent="0.2">
      <c r="B19" s="133"/>
      <c r="C19" s="178" t="s">
        <v>87</v>
      </c>
      <c r="D19" s="35" t="s">
        <v>88</v>
      </c>
      <c r="E19" s="36">
        <f>'Detailed budget'!H34</f>
        <v>1039104</v>
      </c>
      <c r="G19" s="168"/>
      <c r="H19" s="170" t="s">
        <v>24</v>
      </c>
      <c r="I19" s="5" t="s">
        <v>25</v>
      </c>
      <c r="J19" s="8">
        <f>'Detailed budget'!H34</f>
        <v>1039104</v>
      </c>
    </row>
    <row r="20" spans="2:11" x14ac:dyDescent="0.2">
      <c r="B20" s="133"/>
      <c r="C20" s="178"/>
      <c r="D20" s="1" t="s">
        <v>89</v>
      </c>
      <c r="E20" s="9">
        <f>'Detailed budget'!H35</f>
        <v>141696</v>
      </c>
      <c r="G20" s="168"/>
      <c r="H20" s="172"/>
      <c r="I20" s="1" t="s">
        <v>26</v>
      </c>
      <c r="J20" s="9">
        <f>'Detailed budget'!H35</f>
        <v>141696</v>
      </c>
    </row>
    <row r="21" spans="2:11" x14ac:dyDescent="0.2">
      <c r="B21" s="133"/>
      <c r="C21" s="137"/>
      <c r="D21" s="15" t="s">
        <v>90</v>
      </c>
      <c r="E21" s="9">
        <f>'Detailed budget'!H36</f>
        <v>12752640</v>
      </c>
      <c r="G21" s="168"/>
      <c r="H21" s="172"/>
      <c r="I21" s="1" t="s">
        <v>27</v>
      </c>
      <c r="J21" s="9">
        <f>'Detailed budget'!H36</f>
        <v>12752640</v>
      </c>
    </row>
    <row r="22" spans="2:11" ht="29" customHeight="1" thickBot="1" x14ac:dyDescent="0.25">
      <c r="B22" s="122"/>
      <c r="C22" s="138"/>
      <c r="D22" s="64" t="s">
        <v>91</v>
      </c>
      <c r="E22" s="14">
        <f>'Detailed budget'!H37</f>
        <v>8892000</v>
      </c>
      <c r="G22" s="169"/>
      <c r="H22" s="171"/>
      <c r="I22" s="91" t="s">
        <v>54</v>
      </c>
      <c r="J22" s="14">
        <f>'Detailed budget'!H37</f>
        <v>8892000</v>
      </c>
    </row>
    <row r="23" spans="2:11" x14ac:dyDescent="0.2">
      <c r="B23" s="180" t="s">
        <v>92</v>
      </c>
      <c r="C23" s="180"/>
      <c r="D23" s="180"/>
      <c r="E23" s="30">
        <f>SUM(E3:E22)</f>
        <v>94438773.333333343</v>
      </c>
      <c r="G23" s="180" t="s">
        <v>30</v>
      </c>
      <c r="H23" s="180"/>
      <c r="I23" s="180"/>
      <c r="J23" s="30">
        <f>SUM(J3:J22)</f>
        <v>94438773.333333343</v>
      </c>
    </row>
    <row r="24" spans="2:11" s="37" customFormat="1" x14ac:dyDescent="0.2"/>
    <row r="25" spans="2:11" s="37" customFormat="1" ht="27" thickBot="1" x14ac:dyDescent="0.35">
      <c r="B25" s="40" t="s">
        <v>93</v>
      </c>
      <c r="D25" s="41"/>
      <c r="G25" s="40" t="s">
        <v>29</v>
      </c>
      <c r="I25" s="41"/>
    </row>
    <row r="26" spans="2:11" ht="33" customHeight="1" thickBot="1" x14ac:dyDescent="0.25">
      <c r="B26" s="23" t="s">
        <v>94</v>
      </c>
      <c r="C26" s="24" t="s">
        <v>95</v>
      </c>
      <c r="D26" s="24" t="s">
        <v>96</v>
      </c>
      <c r="E26" s="25" t="s">
        <v>97</v>
      </c>
      <c r="G26" s="23" t="s">
        <v>204</v>
      </c>
      <c r="H26" s="24" t="s">
        <v>32</v>
      </c>
      <c r="I26" s="24" t="s">
        <v>33</v>
      </c>
      <c r="J26" s="25" t="s">
        <v>36</v>
      </c>
    </row>
    <row r="27" spans="2:11" x14ac:dyDescent="0.2">
      <c r="B27" s="155" t="s">
        <v>98</v>
      </c>
      <c r="C27" s="89" t="s">
        <v>99</v>
      </c>
      <c r="D27" s="102" t="s">
        <v>115</v>
      </c>
      <c r="E27" s="86">
        <f>'Detailed budget'!H42</f>
        <v>5000000</v>
      </c>
      <c r="G27" s="155" t="s">
        <v>216</v>
      </c>
      <c r="H27" s="89" t="s">
        <v>38</v>
      </c>
      <c r="I27" s="102" t="s">
        <v>55</v>
      </c>
      <c r="J27" s="86">
        <f>'Detailed budget'!H42</f>
        <v>5000000</v>
      </c>
    </row>
    <row r="28" spans="2:11" ht="17" thickBot="1" x14ac:dyDescent="0.25">
      <c r="B28" s="181"/>
      <c r="C28" s="90" t="s">
        <v>100</v>
      </c>
      <c r="D28" s="91" t="s">
        <v>116</v>
      </c>
      <c r="E28" s="87">
        <f>'Detailed budget'!H43</f>
        <v>5000000</v>
      </c>
      <c r="G28" s="181"/>
      <c r="H28" s="90" t="s">
        <v>39</v>
      </c>
      <c r="I28" s="91" t="s">
        <v>35</v>
      </c>
      <c r="J28" s="87">
        <f>'Detailed budget'!H43</f>
        <v>5000000</v>
      </c>
    </row>
    <row r="29" spans="2:11" ht="31" customHeight="1" x14ac:dyDescent="0.2">
      <c r="B29" s="155" t="s">
        <v>101</v>
      </c>
      <c r="C29" s="103" t="s">
        <v>119</v>
      </c>
      <c r="D29" s="102" t="s">
        <v>117</v>
      </c>
      <c r="E29" s="86">
        <f>'Detailed budget'!H44</f>
        <v>35568000</v>
      </c>
      <c r="F29" s="38"/>
      <c r="G29" s="155" t="s">
        <v>40</v>
      </c>
      <c r="H29" s="89" t="s">
        <v>41</v>
      </c>
      <c r="I29" s="102" t="s">
        <v>58</v>
      </c>
      <c r="J29" s="86">
        <f>'Detailed budget'!H44</f>
        <v>35568000</v>
      </c>
      <c r="K29" s="38"/>
    </row>
    <row r="30" spans="2:11" ht="31" customHeight="1" thickBot="1" x14ac:dyDescent="0.25">
      <c r="B30" s="181"/>
      <c r="C30" s="104" t="s">
        <v>207</v>
      </c>
      <c r="D30" s="91" t="s">
        <v>118</v>
      </c>
      <c r="E30" s="87">
        <f>'Detailed budget'!H45</f>
        <v>6240000</v>
      </c>
      <c r="F30" s="38"/>
      <c r="G30" s="181"/>
      <c r="H30" s="90" t="s">
        <v>42</v>
      </c>
      <c r="I30" s="91" t="s">
        <v>59</v>
      </c>
      <c r="J30" s="87">
        <f>'Detailed budget'!H45</f>
        <v>6240000</v>
      </c>
      <c r="K30" s="38"/>
    </row>
    <row r="31" spans="2:11" x14ac:dyDescent="0.2">
      <c r="B31" s="155" t="s">
        <v>102</v>
      </c>
      <c r="C31" s="89" t="s">
        <v>103</v>
      </c>
      <c r="D31" s="183" t="s">
        <v>205</v>
      </c>
      <c r="E31" s="86">
        <f>'Detailed budget'!H46</f>
        <v>7410000</v>
      </c>
      <c r="F31" s="63"/>
      <c r="G31" s="155" t="s">
        <v>31</v>
      </c>
      <c r="H31" s="89" t="s">
        <v>43</v>
      </c>
      <c r="I31" s="183" t="s">
        <v>206</v>
      </c>
      <c r="J31" s="86">
        <f>'Detailed budget'!H46</f>
        <v>7410000</v>
      </c>
      <c r="K31" s="63"/>
    </row>
    <row r="32" spans="2:11" x14ac:dyDescent="0.2">
      <c r="B32" s="182"/>
      <c r="C32" s="80" t="s">
        <v>104</v>
      </c>
      <c r="D32" s="184"/>
      <c r="E32" s="88">
        <f>'Detailed budget'!H47</f>
        <v>889200</v>
      </c>
      <c r="F32" s="63"/>
      <c r="G32" s="182"/>
      <c r="H32" s="80" t="s">
        <v>44</v>
      </c>
      <c r="I32" s="184"/>
      <c r="J32" s="88">
        <f>'Detailed budget'!H47</f>
        <v>889200</v>
      </c>
      <c r="K32" s="63"/>
    </row>
    <row r="33" spans="2:11" x14ac:dyDescent="0.2">
      <c r="B33" s="182"/>
      <c r="C33" s="80" t="s">
        <v>105</v>
      </c>
      <c r="D33" s="184"/>
      <c r="E33" s="88">
        <f>'Detailed budget'!H48</f>
        <v>5928000</v>
      </c>
      <c r="G33" s="182"/>
      <c r="H33" s="80" t="s">
        <v>45</v>
      </c>
      <c r="I33" s="184"/>
      <c r="J33" s="88">
        <f>'Detailed budget'!H48</f>
        <v>5928000</v>
      </c>
    </row>
    <row r="34" spans="2:11" x14ac:dyDescent="0.2">
      <c r="B34" s="182"/>
      <c r="C34" s="80" t="s">
        <v>106</v>
      </c>
      <c r="D34" s="184"/>
      <c r="E34" s="88">
        <f>'Detailed budget'!H49</f>
        <v>1383200</v>
      </c>
      <c r="G34" s="182"/>
      <c r="H34" s="80" t="s">
        <v>47</v>
      </c>
      <c r="I34" s="184"/>
      <c r="J34" s="88">
        <f>'Detailed budget'!H49</f>
        <v>1383200</v>
      </c>
    </row>
    <row r="35" spans="2:11" x14ac:dyDescent="0.2">
      <c r="B35" s="182"/>
      <c r="C35" s="80" t="s">
        <v>107</v>
      </c>
      <c r="D35" s="184"/>
      <c r="E35" s="88">
        <f>'Detailed budget'!H50</f>
        <v>2371200</v>
      </c>
      <c r="F35" s="39"/>
      <c r="G35" s="182"/>
      <c r="H35" s="80" t="s">
        <v>46</v>
      </c>
      <c r="I35" s="184"/>
      <c r="J35" s="88">
        <f>'Detailed budget'!H50</f>
        <v>2371200</v>
      </c>
      <c r="K35" s="39"/>
    </row>
    <row r="36" spans="2:11" x14ac:dyDescent="0.2">
      <c r="B36" s="182"/>
      <c r="C36" s="80" t="s">
        <v>108</v>
      </c>
      <c r="D36" s="184"/>
      <c r="E36" s="88">
        <f>'Detailed budget'!H51</f>
        <v>3458000</v>
      </c>
      <c r="F36" s="63"/>
      <c r="G36" s="182"/>
      <c r="H36" s="80" t="s">
        <v>49</v>
      </c>
      <c r="I36" s="184"/>
      <c r="J36" s="88">
        <f>'Detailed budget'!H51</f>
        <v>3458000</v>
      </c>
      <c r="K36" s="63"/>
    </row>
    <row r="37" spans="2:11" ht="17" thickBot="1" x14ac:dyDescent="0.25">
      <c r="B37" s="181"/>
      <c r="C37" s="90" t="s">
        <v>109</v>
      </c>
      <c r="D37" s="185"/>
      <c r="E37" s="87">
        <f>'Detailed budget'!H52</f>
        <v>790400</v>
      </c>
      <c r="F37" s="63"/>
      <c r="G37" s="181"/>
      <c r="H37" s="90" t="s">
        <v>48</v>
      </c>
      <c r="I37" s="185"/>
      <c r="J37" s="87">
        <f>'Detailed budget'!H52</f>
        <v>790400</v>
      </c>
      <c r="K37" s="63"/>
    </row>
    <row r="38" spans="2:11" x14ac:dyDescent="0.2">
      <c r="B38" s="179" t="s">
        <v>110</v>
      </c>
      <c r="C38" s="179"/>
      <c r="D38" s="179"/>
      <c r="E38" s="31">
        <f xml:space="preserve"> SUM(E27:E37)</f>
        <v>74038000</v>
      </c>
      <c r="G38" s="179" t="s">
        <v>37</v>
      </c>
      <c r="H38" s="179"/>
      <c r="I38" s="179"/>
      <c r="J38" s="31">
        <f>SUM(J27:J37)</f>
        <v>74038000</v>
      </c>
    </row>
    <row r="39" spans="2:11" s="37" customFormat="1" x14ac:dyDescent="0.2"/>
    <row r="40" spans="2:11" s="37" customFormat="1" x14ac:dyDescent="0.2"/>
    <row r="41" spans="2:11" s="37" customFormat="1" ht="26" x14ac:dyDescent="0.3">
      <c r="B41" s="40"/>
      <c r="D41" s="58" t="s">
        <v>111</v>
      </c>
      <c r="E41"/>
      <c r="G41" s="40"/>
      <c r="I41" s="58" t="s">
        <v>50</v>
      </c>
      <c r="J41"/>
    </row>
    <row r="42" spans="2:11" s="37" customFormat="1" ht="21" x14ac:dyDescent="0.25">
      <c r="B42" s="43" t="s">
        <v>213</v>
      </c>
      <c r="C42" s="44"/>
      <c r="D42" s="59" t="s">
        <v>112</v>
      </c>
      <c r="E42" s="52">
        <f>E23</f>
        <v>94438773.333333343</v>
      </c>
      <c r="G42" s="43"/>
      <c r="H42" s="44"/>
      <c r="I42" s="59" t="s">
        <v>51</v>
      </c>
      <c r="J42" s="52">
        <f>J23</f>
        <v>94438773.333333343</v>
      </c>
    </row>
    <row r="43" spans="2:11" s="37" customFormat="1" ht="21" x14ac:dyDescent="0.25">
      <c r="B43" s="43"/>
      <c r="C43" s="44"/>
      <c r="D43" s="59" t="s">
        <v>113</v>
      </c>
      <c r="E43" s="53">
        <f>E38</f>
        <v>74038000</v>
      </c>
      <c r="G43" s="43"/>
      <c r="H43" s="44"/>
      <c r="I43" s="59" t="s">
        <v>52</v>
      </c>
      <c r="J43" s="53">
        <f>J38</f>
        <v>74038000</v>
      </c>
    </row>
    <row r="44" spans="2:11" s="37" customFormat="1" ht="21" x14ac:dyDescent="0.25">
      <c r="B44" s="43"/>
      <c r="C44" s="45"/>
      <c r="D44" s="59" t="s">
        <v>114</v>
      </c>
      <c r="E44" s="57">
        <f>-E42+E43</f>
        <v>-20400773.333333343</v>
      </c>
      <c r="G44" s="43"/>
      <c r="H44" s="45"/>
      <c r="I44" s="59" t="s">
        <v>53</v>
      </c>
      <c r="J44" s="57">
        <f>-J42+J43</f>
        <v>-20400773.333333343</v>
      </c>
    </row>
    <row r="45" spans="2:11" s="37" customFormat="1" x14ac:dyDescent="0.2"/>
    <row r="46" spans="2:11" s="37" customFormat="1" x14ac:dyDescent="0.2"/>
    <row r="47" spans="2:11" s="37" customFormat="1" ht="26" x14ac:dyDescent="0.3">
      <c r="B47" s="40"/>
      <c r="C47" s="43"/>
      <c r="G47" s="40"/>
      <c r="H47" s="43"/>
    </row>
    <row r="48" spans="2:11" s="37" customFormat="1" ht="21" customHeight="1" x14ac:dyDescent="0.2">
      <c r="C48" s="43"/>
      <c r="H48" s="43"/>
    </row>
    <row r="49" spans="3:8" s="37" customFormat="1" ht="21" customHeight="1" x14ac:dyDescent="0.2">
      <c r="C49" s="43"/>
      <c r="H49" s="43"/>
    </row>
    <row r="50" spans="3:8" s="37" customFormat="1" ht="21" customHeight="1" x14ac:dyDescent="0.2">
      <c r="C50" s="43"/>
      <c r="H50" s="43"/>
    </row>
    <row r="51" spans="3:8" s="37" customFormat="1" ht="21" customHeight="1" x14ac:dyDescent="0.2">
      <c r="C51" s="43"/>
      <c r="H51" s="43"/>
    </row>
    <row r="52" spans="3:8" s="37" customFormat="1" ht="21" customHeight="1" x14ac:dyDescent="0.2">
      <c r="C52" s="43"/>
      <c r="H52" s="43"/>
    </row>
    <row r="53" spans="3:8" s="37" customFormat="1" x14ac:dyDescent="0.2"/>
    <row r="54" spans="3:8" s="37" customFormat="1" x14ac:dyDescent="0.2">
      <c r="C54" s="51"/>
      <c r="H54" s="51"/>
    </row>
    <row r="55" spans="3:8" s="37" customFormat="1" x14ac:dyDescent="0.2"/>
    <row r="56" spans="3:8" s="37" customFormat="1" x14ac:dyDescent="0.2"/>
    <row r="57" spans="3:8" s="37" customFormat="1" x14ac:dyDescent="0.2"/>
    <row r="58" spans="3:8" s="37" customFormat="1" x14ac:dyDescent="0.2"/>
    <row r="59" spans="3:8" s="37" customFormat="1" x14ac:dyDescent="0.2"/>
    <row r="60" spans="3:8" s="37" customFormat="1" x14ac:dyDescent="0.2"/>
    <row r="61" spans="3:8" s="37" customFormat="1" x14ac:dyDescent="0.2"/>
    <row r="62" spans="3:8" s="37" customFormat="1" x14ac:dyDescent="0.2"/>
    <row r="63" spans="3:8" s="37" customFormat="1" x14ac:dyDescent="0.2"/>
    <row r="64" spans="3:8" s="37" customFormat="1" x14ac:dyDescent="0.2"/>
    <row r="65" s="37" customFormat="1" x14ac:dyDescent="0.2"/>
    <row r="66" s="37" customFormat="1" x14ac:dyDescent="0.2"/>
    <row r="67" s="37" customFormat="1" x14ac:dyDescent="0.2"/>
    <row r="68" s="37" customFormat="1" x14ac:dyDescent="0.2"/>
    <row r="69" s="37" customFormat="1" x14ac:dyDescent="0.2"/>
    <row r="70" s="37" customFormat="1" x14ac:dyDescent="0.2"/>
    <row r="71" s="37" customFormat="1" x14ac:dyDescent="0.2"/>
    <row r="72" s="37" customFormat="1" x14ac:dyDescent="0.2"/>
    <row r="73" s="37" customFormat="1" x14ac:dyDescent="0.2"/>
    <row r="74" s="37" customFormat="1" x14ac:dyDescent="0.2"/>
    <row r="75" s="37" customFormat="1" x14ac:dyDescent="0.2"/>
    <row r="76" s="37" customFormat="1" x14ac:dyDescent="0.2"/>
    <row r="77" s="37" customFormat="1" x14ac:dyDescent="0.2"/>
    <row r="78" s="37" customFormat="1" x14ac:dyDescent="0.2"/>
    <row r="79" s="37" customFormat="1" x14ac:dyDescent="0.2"/>
    <row r="80" s="37" customFormat="1" x14ac:dyDescent="0.2"/>
    <row r="81" s="37" customFormat="1" x14ac:dyDescent="0.2"/>
    <row r="82" s="37" customFormat="1" x14ac:dyDescent="0.2"/>
    <row r="83" s="37" customFormat="1" x14ac:dyDescent="0.2"/>
    <row r="84" s="37" customFormat="1" x14ac:dyDescent="0.2"/>
    <row r="85" s="37" customFormat="1" x14ac:dyDescent="0.2"/>
    <row r="86" s="37" customFormat="1" x14ac:dyDescent="0.2"/>
    <row r="87" s="37" customFormat="1" x14ac:dyDescent="0.2"/>
    <row r="88" s="37" customFormat="1" x14ac:dyDescent="0.2"/>
    <row r="89" s="37" customFormat="1" x14ac:dyDescent="0.2"/>
    <row r="90" s="37" customFormat="1" x14ac:dyDescent="0.2"/>
    <row r="91" s="37" customFormat="1" x14ac:dyDescent="0.2"/>
    <row r="92" s="37" customFormat="1" x14ac:dyDescent="0.2"/>
    <row r="93" s="37" customFormat="1" x14ac:dyDescent="0.2"/>
    <row r="94" s="37" customFormat="1" x14ac:dyDescent="0.2"/>
    <row r="95" s="37" customFormat="1" x14ac:dyDescent="0.2"/>
    <row r="96" s="37" customFormat="1" x14ac:dyDescent="0.2"/>
    <row r="97" s="37" customFormat="1" x14ac:dyDescent="0.2"/>
    <row r="98" s="37" customFormat="1" x14ac:dyDescent="0.2"/>
    <row r="99" s="37" customFormat="1" x14ac:dyDescent="0.2"/>
    <row r="100" s="37" customFormat="1" x14ac:dyDescent="0.2"/>
    <row r="101" s="37" customFormat="1" x14ac:dyDescent="0.2"/>
    <row r="102" s="37" customFormat="1" x14ac:dyDescent="0.2"/>
    <row r="103" s="37" customFormat="1" x14ac:dyDescent="0.2"/>
    <row r="104" s="37" customFormat="1" x14ac:dyDescent="0.2"/>
    <row r="105" s="37" customFormat="1" x14ac:dyDescent="0.2"/>
    <row r="106" s="37" customFormat="1" x14ac:dyDescent="0.2"/>
    <row r="107" s="37" customFormat="1" x14ac:dyDescent="0.2"/>
    <row r="108" s="37" customFormat="1" x14ac:dyDescent="0.2"/>
    <row r="109" s="37" customFormat="1" x14ac:dyDescent="0.2"/>
    <row r="110" s="37" customFormat="1" x14ac:dyDescent="0.2"/>
    <row r="111" s="37" customFormat="1" x14ac:dyDescent="0.2"/>
    <row r="112" s="37" customFormat="1" x14ac:dyDescent="0.2"/>
    <row r="113" s="37" customFormat="1" x14ac:dyDescent="0.2"/>
    <row r="114" s="37" customFormat="1" x14ac:dyDescent="0.2"/>
    <row r="115" s="37" customFormat="1" x14ac:dyDescent="0.2"/>
    <row r="116" s="37" customFormat="1" x14ac:dyDescent="0.2"/>
    <row r="117" s="37" customFormat="1" x14ac:dyDescent="0.2"/>
    <row r="118" s="37" customFormat="1" x14ac:dyDescent="0.2"/>
    <row r="119" s="37" customFormat="1" x14ac:dyDescent="0.2"/>
    <row r="120" s="37" customFormat="1" x14ac:dyDescent="0.2"/>
    <row r="121" s="37" customFormat="1" x14ac:dyDescent="0.2"/>
    <row r="122" s="37" customFormat="1" x14ac:dyDescent="0.2"/>
    <row r="123" s="37" customFormat="1" x14ac:dyDescent="0.2"/>
    <row r="124" s="37" customFormat="1" x14ac:dyDescent="0.2"/>
    <row r="125" s="37" customFormat="1" x14ac:dyDescent="0.2"/>
    <row r="126" s="37" customFormat="1" x14ac:dyDescent="0.2"/>
    <row r="127" s="37" customFormat="1" x14ac:dyDescent="0.2"/>
    <row r="128" s="37" customFormat="1" x14ac:dyDescent="0.2"/>
    <row r="129" s="37" customFormat="1" x14ac:dyDescent="0.2"/>
    <row r="130" s="37" customFormat="1" x14ac:dyDescent="0.2"/>
    <row r="131" s="37" customFormat="1" x14ac:dyDescent="0.2"/>
    <row r="132" s="37" customFormat="1" x14ac:dyDescent="0.2"/>
    <row r="133" s="37" customFormat="1" x14ac:dyDescent="0.2"/>
    <row r="134" s="37" customFormat="1" x14ac:dyDescent="0.2"/>
    <row r="135" s="37" customFormat="1" x14ac:dyDescent="0.2"/>
    <row r="136" s="37" customFormat="1" x14ac:dyDescent="0.2"/>
    <row r="137" s="37" customFormat="1" x14ac:dyDescent="0.2"/>
    <row r="138" s="37" customFormat="1" x14ac:dyDescent="0.2"/>
    <row r="139" s="37" customFormat="1" x14ac:dyDescent="0.2"/>
    <row r="140" s="37" customFormat="1" x14ac:dyDescent="0.2"/>
    <row r="141" s="37" customFormat="1" x14ac:dyDescent="0.2"/>
    <row r="142" s="37" customFormat="1" x14ac:dyDescent="0.2"/>
    <row r="143" s="37" customFormat="1" x14ac:dyDescent="0.2"/>
    <row r="144" s="37" customFormat="1" x14ac:dyDescent="0.2"/>
    <row r="145" s="37" customFormat="1" x14ac:dyDescent="0.2"/>
    <row r="146" s="37" customFormat="1" x14ac:dyDescent="0.2"/>
    <row r="147" s="37" customFormat="1" x14ac:dyDescent="0.2"/>
    <row r="148" s="37" customFormat="1" x14ac:dyDescent="0.2"/>
    <row r="149" s="37" customFormat="1" x14ac:dyDescent="0.2"/>
    <row r="150" s="37" customFormat="1" x14ac:dyDescent="0.2"/>
    <row r="151" s="37" customFormat="1" x14ac:dyDescent="0.2"/>
    <row r="152" s="37" customFormat="1" x14ac:dyDescent="0.2"/>
    <row r="153" s="37" customFormat="1" x14ac:dyDescent="0.2"/>
    <row r="154" s="37" customFormat="1" x14ac:dyDescent="0.2"/>
    <row r="155" s="37" customFormat="1" x14ac:dyDescent="0.2"/>
    <row r="156" s="37" customFormat="1" x14ac:dyDescent="0.2"/>
    <row r="157" s="37" customFormat="1" x14ac:dyDescent="0.2"/>
    <row r="158" s="37" customFormat="1" x14ac:dyDescent="0.2"/>
    <row r="159" s="37" customFormat="1" x14ac:dyDescent="0.2"/>
    <row r="160" s="37" customFormat="1" x14ac:dyDescent="0.2"/>
    <row r="161" s="37" customFormat="1" x14ac:dyDescent="0.2"/>
    <row r="162" s="37" customFormat="1" x14ac:dyDescent="0.2"/>
    <row r="163" s="37" customFormat="1" x14ac:dyDescent="0.2"/>
    <row r="164" s="37" customFormat="1" x14ac:dyDescent="0.2"/>
    <row r="165" s="37" customFormat="1" x14ac:dyDescent="0.2"/>
    <row r="166" s="37" customFormat="1" x14ac:dyDescent="0.2"/>
    <row r="167" s="37" customFormat="1" x14ac:dyDescent="0.2"/>
    <row r="168" s="37" customFormat="1" x14ac:dyDescent="0.2"/>
    <row r="169" s="37" customFormat="1" x14ac:dyDescent="0.2"/>
    <row r="170" s="37" customFormat="1" x14ac:dyDescent="0.2"/>
    <row r="171" s="37" customFormat="1" x14ac:dyDescent="0.2"/>
    <row r="172" s="37" customFormat="1" x14ac:dyDescent="0.2"/>
    <row r="173" s="37" customFormat="1" x14ac:dyDescent="0.2"/>
    <row r="174" s="37" customFormat="1" x14ac:dyDescent="0.2"/>
    <row r="175" s="37" customFormat="1" x14ac:dyDescent="0.2"/>
    <row r="176" s="37" customFormat="1" x14ac:dyDescent="0.2"/>
    <row r="177" s="37" customFormat="1" x14ac:dyDescent="0.2"/>
    <row r="178" s="37" customFormat="1" x14ac:dyDescent="0.2"/>
    <row r="179" s="37" customFormat="1" x14ac:dyDescent="0.2"/>
    <row r="180" s="37" customFormat="1" x14ac:dyDescent="0.2"/>
    <row r="181" s="37" customFormat="1" x14ac:dyDescent="0.2"/>
    <row r="182" s="37" customFormat="1" x14ac:dyDescent="0.2"/>
    <row r="183" s="37" customFormat="1" x14ac:dyDescent="0.2"/>
    <row r="184" s="37" customFormat="1" x14ac:dyDescent="0.2"/>
    <row r="185" s="37" customFormat="1" x14ac:dyDescent="0.2"/>
    <row r="186" s="37" customFormat="1" x14ac:dyDescent="0.2"/>
    <row r="187" s="37" customFormat="1" x14ac:dyDescent="0.2"/>
    <row r="188" s="37" customFormat="1" x14ac:dyDescent="0.2"/>
    <row r="189" s="37" customFormat="1" x14ac:dyDescent="0.2"/>
    <row r="190" s="37" customFormat="1" x14ac:dyDescent="0.2"/>
    <row r="191" s="37" customFormat="1" x14ac:dyDescent="0.2"/>
    <row r="192" s="37" customFormat="1" x14ac:dyDescent="0.2"/>
    <row r="193" s="37" customFormat="1" x14ac:dyDescent="0.2"/>
    <row r="194" s="37" customFormat="1" x14ac:dyDescent="0.2"/>
    <row r="195" s="37" customFormat="1" x14ac:dyDescent="0.2"/>
    <row r="196" s="37" customFormat="1" x14ac:dyDescent="0.2"/>
    <row r="197" s="37" customFormat="1" x14ac:dyDescent="0.2"/>
    <row r="198" s="37" customFormat="1" x14ac:dyDescent="0.2"/>
    <row r="199" s="37" customFormat="1" x14ac:dyDescent="0.2"/>
    <row r="200" s="37" customFormat="1" x14ac:dyDescent="0.2"/>
    <row r="201" s="37" customFormat="1" x14ac:dyDescent="0.2"/>
    <row r="202" s="37" customFormat="1" x14ac:dyDescent="0.2"/>
    <row r="203" s="37" customFormat="1" x14ac:dyDescent="0.2"/>
    <row r="204" s="37" customFormat="1" x14ac:dyDescent="0.2"/>
    <row r="205" s="37" customFormat="1" x14ac:dyDescent="0.2"/>
    <row r="206" s="37" customFormat="1" x14ac:dyDescent="0.2"/>
    <row r="207" s="37" customFormat="1" x14ac:dyDescent="0.2"/>
    <row r="208" s="37" customFormat="1" x14ac:dyDescent="0.2"/>
    <row r="209" s="37" customFormat="1" x14ac:dyDescent="0.2"/>
    <row r="210" s="37" customFormat="1" x14ac:dyDescent="0.2"/>
    <row r="211" s="37" customFormat="1" x14ac:dyDescent="0.2"/>
    <row r="212" s="37" customFormat="1" x14ac:dyDescent="0.2"/>
    <row r="213" s="37" customFormat="1" x14ac:dyDescent="0.2"/>
    <row r="214" s="37" customFormat="1" x14ac:dyDescent="0.2"/>
    <row r="215" s="37" customFormat="1" x14ac:dyDescent="0.2"/>
    <row r="216" s="37" customFormat="1" x14ac:dyDescent="0.2"/>
    <row r="217" s="37" customFormat="1" x14ac:dyDescent="0.2"/>
    <row r="218" s="37" customFormat="1" x14ac:dyDescent="0.2"/>
    <row r="219" s="37" customFormat="1" x14ac:dyDescent="0.2"/>
    <row r="220" s="37" customFormat="1" x14ac:dyDescent="0.2"/>
    <row r="221" s="37" customFormat="1" x14ac:dyDescent="0.2"/>
    <row r="222" s="37" customFormat="1" x14ac:dyDescent="0.2"/>
    <row r="223" s="37" customFormat="1" x14ac:dyDescent="0.2"/>
    <row r="224" s="37" customFormat="1" x14ac:dyDescent="0.2"/>
    <row r="225" s="37" customFormat="1" x14ac:dyDescent="0.2"/>
    <row r="226" s="37" customFormat="1" x14ac:dyDescent="0.2"/>
    <row r="227" s="37" customFormat="1" x14ac:dyDescent="0.2"/>
    <row r="228" s="37" customFormat="1" x14ac:dyDescent="0.2"/>
    <row r="229" s="37" customFormat="1" x14ac:dyDescent="0.2"/>
    <row r="230" s="37" customFormat="1" x14ac:dyDescent="0.2"/>
    <row r="231" s="37" customFormat="1" x14ac:dyDescent="0.2"/>
    <row r="232" s="37" customFormat="1" x14ac:dyDescent="0.2"/>
    <row r="233" s="37" customFormat="1" x14ac:dyDescent="0.2"/>
    <row r="234" s="37" customFormat="1" x14ac:dyDescent="0.2"/>
    <row r="235" s="37" customFormat="1" x14ac:dyDescent="0.2"/>
    <row r="236" s="37" customFormat="1" x14ac:dyDescent="0.2"/>
    <row r="237" s="37" customFormat="1" x14ac:dyDescent="0.2"/>
    <row r="238" s="37" customFormat="1" x14ac:dyDescent="0.2"/>
    <row r="239" s="37" customFormat="1" x14ac:dyDescent="0.2"/>
    <row r="240" s="37" customFormat="1" x14ac:dyDescent="0.2"/>
    <row r="241" s="37" customFormat="1" x14ac:dyDescent="0.2"/>
    <row r="242" s="37" customFormat="1" x14ac:dyDescent="0.2"/>
    <row r="243" s="37" customFormat="1" x14ac:dyDescent="0.2"/>
    <row r="244" s="37" customFormat="1" x14ac:dyDescent="0.2"/>
    <row r="245" s="37" customFormat="1" x14ac:dyDescent="0.2"/>
    <row r="246" s="37" customFormat="1" x14ac:dyDescent="0.2"/>
    <row r="247" s="37" customFormat="1" x14ac:dyDescent="0.2"/>
    <row r="248" s="37" customFormat="1" x14ac:dyDescent="0.2"/>
    <row r="249" s="37" customFormat="1" x14ac:dyDescent="0.2"/>
    <row r="250" s="37" customFormat="1" x14ac:dyDescent="0.2"/>
    <row r="251" s="37" customFormat="1" x14ac:dyDescent="0.2"/>
    <row r="252" s="37" customFormat="1" x14ac:dyDescent="0.2"/>
    <row r="253" s="37" customFormat="1" x14ac:dyDescent="0.2"/>
    <row r="254" s="37" customFormat="1" x14ac:dyDescent="0.2"/>
    <row r="255" s="37" customFormat="1" x14ac:dyDescent="0.2"/>
    <row r="256" s="37" customFormat="1" x14ac:dyDescent="0.2"/>
    <row r="257" s="37" customFormat="1" x14ac:dyDescent="0.2"/>
    <row r="258" s="37" customFormat="1" x14ac:dyDescent="0.2"/>
    <row r="259" s="37" customFormat="1" x14ac:dyDescent="0.2"/>
    <row r="260" s="37" customFormat="1" x14ac:dyDescent="0.2"/>
    <row r="261" s="37" customFormat="1" x14ac:dyDescent="0.2"/>
    <row r="262" s="37" customFormat="1" x14ac:dyDescent="0.2"/>
    <row r="263" s="37" customFormat="1" x14ac:dyDescent="0.2"/>
    <row r="264" s="37" customFormat="1" x14ac:dyDescent="0.2"/>
    <row r="265" s="37" customFormat="1" x14ac:dyDescent="0.2"/>
    <row r="266" s="37" customFormat="1" x14ac:dyDescent="0.2"/>
    <row r="267" s="37" customFormat="1" x14ac:dyDescent="0.2"/>
    <row r="268" s="37" customFormat="1" x14ac:dyDescent="0.2"/>
    <row r="269" s="37" customFormat="1" x14ac:dyDescent="0.2"/>
    <row r="270" s="37" customFormat="1" x14ac:dyDescent="0.2"/>
    <row r="271" s="37" customFormat="1" x14ac:dyDescent="0.2"/>
    <row r="272" s="37" customFormat="1" x14ac:dyDescent="0.2"/>
    <row r="273" s="37" customFormat="1" x14ac:dyDescent="0.2"/>
    <row r="274" s="37" customFormat="1" x14ac:dyDescent="0.2"/>
    <row r="275" s="37" customFormat="1" x14ac:dyDescent="0.2"/>
    <row r="276" s="37" customFormat="1" x14ac:dyDescent="0.2"/>
    <row r="277" s="37" customFormat="1" x14ac:dyDescent="0.2"/>
    <row r="278" s="37" customFormat="1" x14ac:dyDescent="0.2"/>
    <row r="279" s="37" customFormat="1" x14ac:dyDescent="0.2"/>
    <row r="280" s="37" customFormat="1" x14ac:dyDescent="0.2"/>
    <row r="281" s="37" customFormat="1" x14ac:dyDescent="0.2"/>
    <row r="282" s="37" customFormat="1" x14ac:dyDescent="0.2"/>
    <row r="283" s="37" customFormat="1" x14ac:dyDescent="0.2"/>
    <row r="284" s="37" customFormat="1" x14ac:dyDescent="0.2"/>
    <row r="285" s="37" customFormat="1" x14ac:dyDescent="0.2"/>
    <row r="286" s="37" customFormat="1" x14ac:dyDescent="0.2"/>
    <row r="287" s="37" customFormat="1" x14ac:dyDescent="0.2"/>
    <row r="288" s="37" customFormat="1" x14ac:dyDescent="0.2"/>
    <row r="289" s="37" customFormat="1" x14ac:dyDescent="0.2"/>
    <row r="290" s="37" customFormat="1" x14ac:dyDescent="0.2"/>
    <row r="291" s="37" customFormat="1" x14ac:dyDescent="0.2"/>
    <row r="292" s="37" customFormat="1" x14ac:dyDescent="0.2"/>
    <row r="293" s="37" customFormat="1" x14ac:dyDescent="0.2"/>
    <row r="294" s="37" customFormat="1" x14ac:dyDescent="0.2"/>
    <row r="295" s="37" customFormat="1" x14ac:dyDescent="0.2"/>
    <row r="296" s="37" customFormat="1" x14ac:dyDescent="0.2"/>
    <row r="297" s="37" customFormat="1" x14ac:dyDescent="0.2"/>
    <row r="298" s="37" customFormat="1" x14ac:dyDescent="0.2"/>
    <row r="299" s="37" customFormat="1" x14ac:dyDescent="0.2"/>
    <row r="300" s="37" customFormat="1" x14ac:dyDescent="0.2"/>
    <row r="301" s="37" customFormat="1" x14ac:dyDescent="0.2"/>
    <row r="302" s="37" customFormat="1" x14ac:dyDescent="0.2"/>
    <row r="303" s="37" customFormat="1" x14ac:dyDescent="0.2"/>
    <row r="304" s="37" customFormat="1" x14ac:dyDescent="0.2"/>
    <row r="305" s="37" customFormat="1" x14ac:dyDescent="0.2"/>
    <row r="306" s="37" customFormat="1" x14ac:dyDescent="0.2"/>
    <row r="307" s="37" customFormat="1" x14ac:dyDescent="0.2"/>
    <row r="308" s="37" customFormat="1" x14ac:dyDescent="0.2"/>
    <row r="309" s="37" customFormat="1" x14ac:dyDescent="0.2"/>
    <row r="310" s="37" customFormat="1" x14ac:dyDescent="0.2"/>
    <row r="311" s="37" customFormat="1" x14ac:dyDescent="0.2"/>
    <row r="312" s="37" customFormat="1" x14ac:dyDescent="0.2"/>
    <row r="313" s="37" customFormat="1" x14ac:dyDescent="0.2"/>
    <row r="314" s="37" customFormat="1" x14ac:dyDescent="0.2"/>
    <row r="315" s="37" customFormat="1" x14ac:dyDescent="0.2"/>
    <row r="316" s="37" customFormat="1" x14ac:dyDescent="0.2"/>
    <row r="317" s="37" customFormat="1" x14ac:dyDescent="0.2"/>
    <row r="318" s="37" customFormat="1" x14ac:dyDescent="0.2"/>
    <row r="319" s="37" customFormat="1" x14ac:dyDescent="0.2"/>
    <row r="320" s="37" customFormat="1" x14ac:dyDescent="0.2"/>
    <row r="321" s="37" customFormat="1" x14ac:dyDescent="0.2"/>
    <row r="322" s="37" customFormat="1" x14ac:dyDescent="0.2"/>
    <row r="323" s="37" customFormat="1" x14ac:dyDescent="0.2"/>
    <row r="324" s="37" customFormat="1" x14ac:dyDescent="0.2"/>
    <row r="325" s="37" customFormat="1" x14ac:dyDescent="0.2"/>
    <row r="326" s="37" customFormat="1" x14ac:dyDescent="0.2"/>
    <row r="327" s="37" customFormat="1" x14ac:dyDescent="0.2"/>
    <row r="328" s="37" customFormat="1" x14ac:dyDescent="0.2"/>
    <row r="329" s="37" customFormat="1" x14ac:dyDescent="0.2"/>
    <row r="330" s="37" customFormat="1" x14ac:dyDescent="0.2"/>
    <row r="331" s="37" customFormat="1" x14ac:dyDescent="0.2"/>
    <row r="332" s="37" customFormat="1" x14ac:dyDescent="0.2"/>
    <row r="333" s="37" customFormat="1" x14ac:dyDescent="0.2"/>
    <row r="334" s="37" customFormat="1" x14ac:dyDescent="0.2"/>
    <row r="335" s="37" customFormat="1" x14ac:dyDescent="0.2"/>
    <row r="336" s="37" customFormat="1" x14ac:dyDescent="0.2"/>
    <row r="337" s="37" customFormat="1" x14ac:dyDescent="0.2"/>
    <row r="338" s="37" customFormat="1" x14ac:dyDescent="0.2"/>
    <row r="339" s="37" customFormat="1" x14ac:dyDescent="0.2"/>
    <row r="340" s="37" customFormat="1" x14ac:dyDescent="0.2"/>
    <row r="341" s="37" customFormat="1" x14ac:dyDescent="0.2"/>
    <row r="342" s="37" customFormat="1" x14ac:dyDescent="0.2"/>
    <row r="343" s="37" customFormat="1" x14ac:dyDescent="0.2"/>
    <row r="344" s="37" customFormat="1" x14ac:dyDescent="0.2"/>
    <row r="345" s="37" customFormat="1" x14ac:dyDescent="0.2"/>
    <row r="346" s="37" customFormat="1" x14ac:dyDescent="0.2"/>
    <row r="347" s="37" customFormat="1" x14ac:dyDescent="0.2"/>
    <row r="348" s="37" customFormat="1" x14ac:dyDescent="0.2"/>
    <row r="349" s="37" customFormat="1" x14ac:dyDescent="0.2"/>
    <row r="350" s="37" customFormat="1" x14ac:dyDescent="0.2"/>
    <row r="351" s="37" customFormat="1" x14ac:dyDescent="0.2"/>
    <row r="352" s="37" customFormat="1" x14ac:dyDescent="0.2"/>
    <row r="353" s="37" customFormat="1" x14ac:dyDescent="0.2"/>
    <row r="354" s="37" customFormat="1" x14ac:dyDescent="0.2"/>
    <row r="355" s="37" customFormat="1" x14ac:dyDescent="0.2"/>
    <row r="356" s="37" customFormat="1" x14ac:dyDescent="0.2"/>
    <row r="357" s="37" customFormat="1" x14ac:dyDescent="0.2"/>
    <row r="358" s="37" customFormat="1" x14ac:dyDescent="0.2"/>
    <row r="359" s="37" customFormat="1" x14ac:dyDescent="0.2"/>
    <row r="360" s="37" customFormat="1" x14ac:dyDescent="0.2"/>
    <row r="361" s="37" customFormat="1" x14ac:dyDescent="0.2"/>
    <row r="362" s="37" customFormat="1" x14ac:dyDescent="0.2"/>
    <row r="363" s="37" customFormat="1" x14ac:dyDescent="0.2"/>
    <row r="364" s="37" customFormat="1" x14ac:dyDescent="0.2"/>
    <row r="365" s="37" customFormat="1" x14ac:dyDescent="0.2"/>
    <row r="366" s="37" customFormat="1" x14ac:dyDescent="0.2"/>
    <row r="367" s="37" customFormat="1" x14ac:dyDescent="0.2"/>
    <row r="368" s="37" customFormat="1" x14ac:dyDescent="0.2"/>
    <row r="369" s="37" customFormat="1" x14ac:dyDescent="0.2"/>
    <row r="370" s="37" customFormat="1" x14ac:dyDescent="0.2"/>
    <row r="371" s="37" customFormat="1" x14ac:dyDescent="0.2"/>
    <row r="372" s="37" customFormat="1" x14ac:dyDescent="0.2"/>
    <row r="373" s="37" customFormat="1" x14ac:dyDescent="0.2"/>
    <row r="374" s="37" customFormat="1" x14ac:dyDescent="0.2"/>
    <row r="375" s="37" customFormat="1" x14ac:dyDescent="0.2"/>
    <row r="376" s="37" customFormat="1" x14ac:dyDescent="0.2"/>
    <row r="377" s="37" customFormat="1" x14ac:dyDescent="0.2"/>
    <row r="378" s="37" customFormat="1" x14ac:dyDescent="0.2"/>
    <row r="379" s="37" customFormat="1" x14ac:dyDescent="0.2"/>
    <row r="380" s="37" customFormat="1" x14ac:dyDescent="0.2"/>
    <row r="381" s="37" customFormat="1" x14ac:dyDescent="0.2"/>
    <row r="382" s="37" customFormat="1" x14ac:dyDescent="0.2"/>
    <row r="383" s="37" customFormat="1" x14ac:dyDescent="0.2"/>
    <row r="384" s="37" customFormat="1" x14ac:dyDescent="0.2"/>
    <row r="385" s="37" customFormat="1" x14ac:dyDescent="0.2"/>
    <row r="386" s="37" customFormat="1" x14ac:dyDescent="0.2"/>
    <row r="387" s="37" customFormat="1" x14ac:dyDescent="0.2"/>
    <row r="388" s="37" customFormat="1" x14ac:dyDescent="0.2"/>
    <row r="389" s="37" customFormat="1" x14ac:dyDescent="0.2"/>
    <row r="390" s="37" customFormat="1" x14ac:dyDescent="0.2"/>
    <row r="391" s="37" customFormat="1" x14ac:dyDescent="0.2"/>
    <row r="392" s="37" customFormat="1" x14ac:dyDescent="0.2"/>
    <row r="393" s="37" customFormat="1" x14ac:dyDescent="0.2"/>
    <row r="394" s="37" customFormat="1" x14ac:dyDescent="0.2"/>
    <row r="395" s="37" customFormat="1" x14ac:dyDescent="0.2"/>
    <row r="396" s="37" customFormat="1" x14ac:dyDescent="0.2"/>
    <row r="397" s="37" customFormat="1" x14ac:dyDescent="0.2"/>
    <row r="398" s="37" customFormat="1" x14ac:dyDescent="0.2"/>
    <row r="399" s="37" customFormat="1" x14ac:dyDescent="0.2"/>
    <row r="400" s="37" customFormat="1" x14ac:dyDescent="0.2"/>
    <row r="401" s="37" customFormat="1" x14ac:dyDescent="0.2"/>
    <row r="402" s="37" customFormat="1" x14ac:dyDescent="0.2"/>
    <row r="403" s="37" customFormat="1" x14ac:dyDescent="0.2"/>
    <row r="404" s="37" customFormat="1" x14ac:dyDescent="0.2"/>
    <row r="405" s="37" customFormat="1" x14ac:dyDescent="0.2"/>
    <row r="406" s="37" customFormat="1" x14ac:dyDescent="0.2"/>
    <row r="407" s="37" customFormat="1" x14ac:dyDescent="0.2"/>
    <row r="408" s="37" customFormat="1" x14ac:dyDescent="0.2"/>
    <row r="409" s="37" customFormat="1" x14ac:dyDescent="0.2"/>
    <row r="410" s="37" customFormat="1" x14ac:dyDescent="0.2"/>
    <row r="411" s="37" customFormat="1" x14ac:dyDescent="0.2"/>
    <row r="412" s="37" customFormat="1" x14ac:dyDescent="0.2"/>
    <row r="413" s="37" customFormat="1" x14ac:dyDescent="0.2"/>
    <row r="414" s="37" customFormat="1" x14ac:dyDescent="0.2"/>
    <row r="415" s="37" customFormat="1" x14ac:dyDescent="0.2"/>
    <row r="416" s="37" customFormat="1" x14ac:dyDescent="0.2"/>
    <row r="417" s="37" customFormat="1" x14ac:dyDescent="0.2"/>
    <row r="418" s="37" customFormat="1" x14ac:dyDescent="0.2"/>
    <row r="419" s="37" customFormat="1" x14ac:dyDescent="0.2"/>
    <row r="420" s="37" customFormat="1" x14ac:dyDescent="0.2"/>
    <row r="421" s="37" customFormat="1" x14ac:dyDescent="0.2"/>
    <row r="422" s="37" customFormat="1" x14ac:dyDescent="0.2"/>
    <row r="423" s="37" customFormat="1" x14ac:dyDescent="0.2"/>
    <row r="424" s="37" customFormat="1" x14ac:dyDescent="0.2"/>
    <row r="425" s="37" customFormat="1" x14ac:dyDescent="0.2"/>
    <row r="426" s="37" customFormat="1" x14ac:dyDescent="0.2"/>
    <row r="427" s="37" customFormat="1" x14ac:dyDescent="0.2"/>
    <row r="428" s="37" customFormat="1" x14ac:dyDescent="0.2"/>
    <row r="429" s="37" customFormat="1" x14ac:dyDescent="0.2"/>
    <row r="430" s="37" customFormat="1" x14ac:dyDescent="0.2"/>
    <row r="431" s="37" customFormat="1" x14ac:dyDescent="0.2"/>
    <row r="432" s="37" customFormat="1" x14ac:dyDescent="0.2"/>
    <row r="433" s="37" customFormat="1" x14ac:dyDescent="0.2"/>
    <row r="434" s="37" customFormat="1" x14ac:dyDescent="0.2"/>
    <row r="435" s="37" customFormat="1" x14ac:dyDescent="0.2"/>
    <row r="436" s="37" customFormat="1" x14ac:dyDescent="0.2"/>
    <row r="437" s="37" customFormat="1" x14ac:dyDescent="0.2"/>
    <row r="438" s="37" customFormat="1" x14ac:dyDescent="0.2"/>
    <row r="439" s="37" customFormat="1" x14ac:dyDescent="0.2"/>
    <row r="440" s="37" customFormat="1" x14ac:dyDescent="0.2"/>
    <row r="441" s="37" customFormat="1" x14ac:dyDescent="0.2"/>
    <row r="442" s="37" customFormat="1" x14ac:dyDescent="0.2"/>
    <row r="443" s="37" customFormat="1" x14ac:dyDescent="0.2"/>
    <row r="444" s="37" customFormat="1" x14ac:dyDescent="0.2"/>
    <row r="445" s="37" customFormat="1" x14ac:dyDescent="0.2"/>
    <row r="446" s="37" customFormat="1" x14ac:dyDescent="0.2"/>
    <row r="447" s="37" customFormat="1" x14ac:dyDescent="0.2"/>
    <row r="448" s="37" customFormat="1" x14ac:dyDescent="0.2"/>
    <row r="449" s="37" customFormat="1" x14ac:dyDescent="0.2"/>
    <row r="450" s="37" customFormat="1" x14ac:dyDescent="0.2"/>
    <row r="451" s="37" customFormat="1" x14ac:dyDescent="0.2"/>
    <row r="452" s="37" customFormat="1" x14ac:dyDescent="0.2"/>
    <row r="453" s="37" customFormat="1" x14ac:dyDescent="0.2"/>
    <row r="454" s="37" customFormat="1" x14ac:dyDescent="0.2"/>
    <row r="455" s="37" customFormat="1" x14ac:dyDescent="0.2"/>
    <row r="456" s="37" customFormat="1" x14ac:dyDescent="0.2"/>
    <row r="457" s="37" customFormat="1" x14ac:dyDescent="0.2"/>
    <row r="458" s="37" customFormat="1" x14ac:dyDescent="0.2"/>
    <row r="459" s="37" customFormat="1" x14ac:dyDescent="0.2"/>
    <row r="460" s="37" customFormat="1" x14ac:dyDescent="0.2"/>
    <row r="461" s="37" customFormat="1" x14ac:dyDescent="0.2"/>
    <row r="462" s="37" customFormat="1" x14ac:dyDescent="0.2"/>
    <row r="463" s="37" customFormat="1" x14ac:dyDescent="0.2"/>
    <row r="464" s="37" customFormat="1" x14ac:dyDescent="0.2"/>
    <row r="465" s="37" customFormat="1" x14ac:dyDescent="0.2"/>
    <row r="466" s="37" customFormat="1" x14ac:dyDescent="0.2"/>
    <row r="467" s="37" customFormat="1" x14ac:dyDescent="0.2"/>
    <row r="468" s="37" customFormat="1" x14ac:dyDescent="0.2"/>
    <row r="469" s="37" customFormat="1" x14ac:dyDescent="0.2"/>
    <row r="470" s="37" customFormat="1" x14ac:dyDescent="0.2"/>
    <row r="471" s="37" customFormat="1" x14ac:dyDescent="0.2"/>
    <row r="472" s="37" customFormat="1" x14ac:dyDescent="0.2"/>
    <row r="473" s="37" customFormat="1" x14ac:dyDescent="0.2"/>
    <row r="474" s="37" customFormat="1" x14ac:dyDescent="0.2"/>
    <row r="475" s="37" customFormat="1" x14ac:dyDescent="0.2"/>
    <row r="476" s="37" customFormat="1" x14ac:dyDescent="0.2"/>
    <row r="477" s="37" customFormat="1" x14ac:dyDescent="0.2"/>
    <row r="478" s="37" customFormat="1" x14ac:dyDescent="0.2"/>
    <row r="479" s="37" customFormat="1" x14ac:dyDescent="0.2"/>
    <row r="480" s="37" customFormat="1" x14ac:dyDescent="0.2"/>
    <row r="481" s="37" customFormat="1" x14ac:dyDescent="0.2"/>
    <row r="482" s="37" customFormat="1" x14ac:dyDescent="0.2"/>
    <row r="483" s="37" customFormat="1" x14ac:dyDescent="0.2"/>
    <row r="484" s="37" customFormat="1" x14ac:dyDescent="0.2"/>
    <row r="485" s="37" customFormat="1" x14ac:dyDescent="0.2"/>
    <row r="486" s="37" customFormat="1" x14ac:dyDescent="0.2"/>
    <row r="487" s="37" customFormat="1" x14ac:dyDescent="0.2"/>
    <row r="488" s="37" customFormat="1" x14ac:dyDescent="0.2"/>
    <row r="489" s="37" customFormat="1" x14ac:dyDescent="0.2"/>
    <row r="490" s="37" customFormat="1" x14ac:dyDescent="0.2"/>
    <row r="491" s="37" customFormat="1" x14ac:dyDescent="0.2"/>
    <row r="492" s="37" customFormat="1" x14ac:dyDescent="0.2"/>
    <row r="493" s="37" customFormat="1" x14ac:dyDescent="0.2"/>
    <row r="494" s="37" customFormat="1" x14ac:dyDescent="0.2"/>
    <row r="495" s="37" customFormat="1" x14ac:dyDescent="0.2"/>
    <row r="496" s="37" customFormat="1" x14ac:dyDescent="0.2"/>
    <row r="497" s="37" customFormat="1" x14ac:dyDescent="0.2"/>
    <row r="498" s="37" customFormat="1" x14ac:dyDescent="0.2"/>
    <row r="499" s="37" customFormat="1" x14ac:dyDescent="0.2"/>
    <row r="500" s="37" customFormat="1" x14ac:dyDescent="0.2"/>
    <row r="501" s="37" customFormat="1" x14ac:dyDescent="0.2"/>
    <row r="502" s="37" customFormat="1" x14ac:dyDescent="0.2"/>
    <row r="503" s="37" customFormat="1" x14ac:dyDescent="0.2"/>
    <row r="504" s="37" customFormat="1" x14ac:dyDescent="0.2"/>
    <row r="505" s="37" customFormat="1" x14ac:dyDescent="0.2"/>
    <row r="506" s="37" customFormat="1" x14ac:dyDescent="0.2"/>
    <row r="507" s="37" customFormat="1" x14ac:dyDescent="0.2"/>
    <row r="508" s="37" customFormat="1" x14ac:dyDescent="0.2"/>
    <row r="509" s="37" customFormat="1" x14ac:dyDescent="0.2"/>
    <row r="510" s="37" customFormat="1" x14ac:dyDescent="0.2"/>
    <row r="511" s="37" customFormat="1" x14ac:dyDescent="0.2"/>
    <row r="512" s="37" customFormat="1" x14ac:dyDescent="0.2"/>
    <row r="513" s="37" customFormat="1" x14ac:dyDescent="0.2"/>
    <row r="514" s="37" customFormat="1" x14ac:dyDescent="0.2"/>
    <row r="515" s="37" customFormat="1" x14ac:dyDescent="0.2"/>
    <row r="516" s="37" customFormat="1" x14ac:dyDescent="0.2"/>
    <row r="517" s="37" customFormat="1" x14ac:dyDescent="0.2"/>
    <row r="518" s="37" customFormat="1" x14ac:dyDescent="0.2"/>
    <row r="519" s="37" customFormat="1" x14ac:dyDescent="0.2"/>
    <row r="520" s="37" customFormat="1" x14ac:dyDescent="0.2"/>
    <row r="521" s="37" customFormat="1" x14ac:dyDescent="0.2"/>
    <row r="522" s="37" customFormat="1" x14ac:dyDescent="0.2"/>
    <row r="523" s="37" customFormat="1" x14ac:dyDescent="0.2"/>
    <row r="524" s="37" customFormat="1" x14ac:dyDescent="0.2"/>
    <row r="525" s="37" customFormat="1" x14ac:dyDescent="0.2"/>
    <row r="526" s="37" customFormat="1" x14ac:dyDescent="0.2"/>
    <row r="527" s="37" customFormat="1" x14ac:dyDescent="0.2"/>
    <row r="528" s="37" customFormat="1" x14ac:dyDescent="0.2"/>
    <row r="529" s="37" customFormat="1" x14ac:dyDescent="0.2"/>
    <row r="530" s="37" customFormat="1" x14ac:dyDescent="0.2"/>
    <row r="531" s="37" customFormat="1" x14ac:dyDescent="0.2"/>
    <row r="532" s="37" customFormat="1" x14ac:dyDescent="0.2"/>
    <row r="533" s="37" customFormat="1" x14ac:dyDescent="0.2"/>
    <row r="534" s="37" customFormat="1" x14ac:dyDescent="0.2"/>
    <row r="535" s="37" customFormat="1" x14ac:dyDescent="0.2"/>
    <row r="536" s="37" customFormat="1" x14ac:dyDescent="0.2"/>
    <row r="537" s="37" customFormat="1" x14ac:dyDescent="0.2"/>
    <row r="538" s="37" customFormat="1" x14ac:dyDescent="0.2"/>
    <row r="539" s="37" customFormat="1" x14ac:dyDescent="0.2"/>
    <row r="540" s="37" customFormat="1" x14ac:dyDescent="0.2"/>
    <row r="541" s="37" customFormat="1" x14ac:dyDescent="0.2"/>
    <row r="542" s="37" customFormat="1" x14ac:dyDescent="0.2"/>
    <row r="543" s="37" customFormat="1" x14ac:dyDescent="0.2"/>
    <row r="544" s="37" customFormat="1" x14ac:dyDescent="0.2"/>
    <row r="545" s="37" customFormat="1" x14ac:dyDescent="0.2"/>
    <row r="546" s="37" customFormat="1" x14ac:dyDescent="0.2"/>
    <row r="547" s="37" customFormat="1" x14ac:dyDescent="0.2"/>
    <row r="548" s="37" customFormat="1" x14ac:dyDescent="0.2"/>
    <row r="549" s="37" customFormat="1" x14ac:dyDescent="0.2"/>
    <row r="550" s="37" customFormat="1" x14ac:dyDescent="0.2"/>
    <row r="551" s="37" customFormat="1" x14ac:dyDescent="0.2"/>
    <row r="552" s="37" customFormat="1" x14ac:dyDescent="0.2"/>
    <row r="553" s="37" customFormat="1" x14ac:dyDescent="0.2"/>
    <row r="554" s="37" customFormat="1" x14ac:dyDescent="0.2"/>
    <row r="555" s="37" customFormat="1" x14ac:dyDescent="0.2"/>
    <row r="556" s="37" customFormat="1" x14ac:dyDescent="0.2"/>
    <row r="557" s="37" customFormat="1" x14ac:dyDescent="0.2"/>
    <row r="558" s="37" customFormat="1" x14ac:dyDescent="0.2"/>
    <row r="559" s="37" customFormat="1" x14ac:dyDescent="0.2"/>
    <row r="560" s="37" customFormat="1" x14ac:dyDescent="0.2"/>
    <row r="561" s="37" customFormat="1" x14ac:dyDescent="0.2"/>
    <row r="562" s="37" customFormat="1" x14ac:dyDescent="0.2"/>
    <row r="563" s="37" customFormat="1" x14ac:dyDescent="0.2"/>
    <row r="564" s="37" customFormat="1" x14ac:dyDescent="0.2"/>
    <row r="565" s="37" customFormat="1" x14ac:dyDescent="0.2"/>
    <row r="566" s="37" customFormat="1" x14ac:dyDescent="0.2"/>
    <row r="567" s="37" customFormat="1" x14ac:dyDescent="0.2"/>
    <row r="568" s="37" customFormat="1" x14ac:dyDescent="0.2"/>
    <row r="569" s="37" customFormat="1" x14ac:dyDescent="0.2"/>
    <row r="570" s="37" customFormat="1" x14ac:dyDescent="0.2"/>
    <row r="571" s="37" customFormat="1" x14ac:dyDescent="0.2"/>
    <row r="572" s="37" customFormat="1" x14ac:dyDescent="0.2"/>
    <row r="573" s="37" customFormat="1" x14ac:dyDescent="0.2"/>
    <row r="574" s="37" customFormat="1" x14ac:dyDescent="0.2"/>
    <row r="575" s="37" customFormat="1" x14ac:dyDescent="0.2"/>
    <row r="576" s="37" customFormat="1" x14ac:dyDescent="0.2"/>
    <row r="577" s="37" customFormat="1" x14ac:dyDescent="0.2"/>
    <row r="578" s="37" customFormat="1" x14ac:dyDescent="0.2"/>
    <row r="579" s="37" customFormat="1" x14ac:dyDescent="0.2"/>
    <row r="580" s="37" customFormat="1" x14ac:dyDescent="0.2"/>
    <row r="581" s="37" customFormat="1" x14ac:dyDescent="0.2"/>
    <row r="582" s="37" customFormat="1" x14ac:dyDescent="0.2"/>
    <row r="583" s="37" customFormat="1" x14ac:dyDescent="0.2"/>
    <row r="584" s="37" customFormat="1" x14ac:dyDescent="0.2"/>
    <row r="585" s="37" customFormat="1" x14ac:dyDescent="0.2"/>
    <row r="586" s="37" customFormat="1" x14ac:dyDescent="0.2"/>
    <row r="587" s="37" customFormat="1" x14ac:dyDescent="0.2"/>
    <row r="588" s="37" customFormat="1" x14ac:dyDescent="0.2"/>
    <row r="589" s="37" customFormat="1" x14ac:dyDescent="0.2"/>
    <row r="590" s="37" customFormat="1" x14ac:dyDescent="0.2"/>
    <row r="591" s="37" customFormat="1" x14ac:dyDescent="0.2"/>
    <row r="592" s="37" customFormat="1" x14ac:dyDescent="0.2"/>
    <row r="593" s="37" customFormat="1" x14ac:dyDescent="0.2"/>
    <row r="594" s="37" customFormat="1" x14ac:dyDescent="0.2"/>
    <row r="595" s="37" customFormat="1" x14ac:dyDescent="0.2"/>
    <row r="596" s="37" customFormat="1" x14ac:dyDescent="0.2"/>
    <row r="597" s="37" customFormat="1" x14ac:dyDescent="0.2"/>
    <row r="598" s="37" customFormat="1" x14ac:dyDescent="0.2"/>
    <row r="599" s="37" customFormat="1" x14ac:dyDescent="0.2"/>
    <row r="600" s="37" customFormat="1" x14ac:dyDescent="0.2"/>
    <row r="601" s="37" customFormat="1" x14ac:dyDescent="0.2"/>
    <row r="602" s="37" customFormat="1" x14ac:dyDescent="0.2"/>
    <row r="603" s="37" customFormat="1" x14ac:dyDescent="0.2"/>
    <row r="604" s="37" customFormat="1" x14ac:dyDescent="0.2"/>
    <row r="605" s="37" customFormat="1" x14ac:dyDescent="0.2"/>
    <row r="606" s="37" customFormat="1" x14ac:dyDescent="0.2"/>
    <row r="607" s="37" customFormat="1" x14ac:dyDescent="0.2"/>
    <row r="608" s="37" customFormat="1" x14ac:dyDescent="0.2"/>
    <row r="609" s="37" customFormat="1" x14ac:dyDescent="0.2"/>
    <row r="610" s="37" customFormat="1" x14ac:dyDescent="0.2"/>
    <row r="611" s="37" customFormat="1" x14ac:dyDescent="0.2"/>
    <row r="612" s="37" customFormat="1" x14ac:dyDescent="0.2"/>
    <row r="613" s="37" customFormat="1" x14ac:dyDescent="0.2"/>
    <row r="614" s="37" customFormat="1" x14ac:dyDescent="0.2"/>
    <row r="615" s="37" customFormat="1" x14ac:dyDescent="0.2"/>
    <row r="616" s="37" customFormat="1" x14ac:dyDescent="0.2"/>
    <row r="617" s="37" customFormat="1" x14ac:dyDescent="0.2"/>
    <row r="618" s="37" customFormat="1" x14ac:dyDescent="0.2"/>
    <row r="619" s="37" customFormat="1" x14ac:dyDescent="0.2"/>
    <row r="620" s="37" customFormat="1" x14ac:dyDescent="0.2"/>
    <row r="621" s="37" customFormat="1" x14ac:dyDescent="0.2"/>
    <row r="622" s="37" customFormat="1" x14ac:dyDescent="0.2"/>
    <row r="623" s="37" customFormat="1" x14ac:dyDescent="0.2"/>
    <row r="624" s="37" customFormat="1" x14ac:dyDescent="0.2"/>
    <row r="625" s="37" customFormat="1" x14ac:dyDescent="0.2"/>
  </sheetData>
  <mergeCells count="24">
    <mergeCell ref="G38:I38"/>
    <mergeCell ref="G23:I23"/>
    <mergeCell ref="B23:D23"/>
    <mergeCell ref="B27:B28"/>
    <mergeCell ref="B29:B30"/>
    <mergeCell ref="B31:B37"/>
    <mergeCell ref="D31:D37"/>
    <mergeCell ref="B38:D38"/>
    <mergeCell ref="G27:G28"/>
    <mergeCell ref="G29:G30"/>
    <mergeCell ref="G31:G37"/>
    <mergeCell ref="I31:I37"/>
    <mergeCell ref="B3:B11"/>
    <mergeCell ref="C3:C4"/>
    <mergeCell ref="C5:C11"/>
    <mergeCell ref="B12:B22"/>
    <mergeCell ref="C12:C16"/>
    <mergeCell ref="C19:C22"/>
    <mergeCell ref="G3:G11"/>
    <mergeCell ref="H3:H4"/>
    <mergeCell ref="H5:H11"/>
    <mergeCell ref="G12:G22"/>
    <mergeCell ref="H12:H16"/>
    <mergeCell ref="H19:H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Detailed budget</vt:lpstr>
      <vt:lpstr>Simplified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</dc:creator>
  <cp:lastModifiedBy>Pierre</cp:lastModifiedBy>
  <cp:lastPrinted>2022-05-03T09:54:49Z</cp:lastPrinted>
  <dcterms:created xsi:type="dcterms:W3CDTF">2022-04-19T06:18:36Z</dcterms:created>
  <dcterms:modified xsi:type="dcterms:W3CDTF">2022-05-10T06:53:53Z</dcterms:modified>
</cp:coreProperties>
</file>